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630" yWindow="735" windowWidth="27495" windowHeight="11070"/>
  </bookViews>
  <sheets>
    <sheet name="Table of Contents" sheetId="1" r:id="rId1"/>
    <sheet name="CC104101" sheetId="2" r:id="rId2"/>
    <sheet name="CC104102" sheetId="3" r:id="rId3"/>
    <sheet name="CC104103" sheetId="4" r:id="rId4"/>
    <sheet name="CC104104" sheetId="5" r:id="rId5"/>
    <sheet name="CC104105" sheetId="6" r:id="rId6"/>
    <sheet name="CC104106" sheetId="7" r:id="rId7"/>
    <sheet name="CC104107" sheetId="8" r:id="rId8"/>
    <sheet name="CC104201" sheetId="9" r:id="rId9"/>
    <sheet name="CC104202" sheetId="10" r:id="rId10"/>
    <sheet name="CC104203" sheetId="11" r:id="rId11"/>
    <sheet name="CC104204" sheetId="12" r:id="rId12"/>
    <sheet name="CC104205" sheetId="13" r:id="rId13"/>
    <sheet name="CC104206" sheetId="14" r:id="rId14"/>
    <sheet name="CC104301C" sheetId="15" r:id="rId15"/>
    <sheet name="CC104303" sheetId="16" r:id="rId16"/>
    <sheet name="CC104305" sheetId="17" r:id="rId17"/>
    <sheet name="CC104306" sheetId="18" r:id="rId18"/>
    <sheet name="CC106101" sheetId="19" r:id="rId19"/>
    <sheet name="CC106102" sheetId="20" r:id="rId20"/>
    <sheet name="CC106103" sheetId="21" r:id="rId21"/>
    <sheet name="CC106104" sheetId="22" r:id="rId22"/>
    <sheet name="CC106105" sheetId="23" r:id="rId23"/>
    <sheet name="CC106106" sheetId="24" r:id="rId24"/>
    <sheet name="CC106107C" sheetId="25" r:id="rId25"/>
    <sheet name="CC106201" sheetId="26" r:id="rId26"/>
    <sheet name="CC106202" sheetId="27" r:id="rId27"/>
    <sheet name="CC106203" sheetId="28" r:id="rId28"/>
    <sheet name="CC106204" sheetId="29" r:id="rId29"/>
    <sheet name="CC106205" sheetId="30" r:id="rId30"/>
    <sheet name="CC106206" sheetId="31" r:id="rId31"/>
    <sheet name="CC106207" sheetId="32" r:id="rId32"/>
    <sheet name="CC106208" sheetId="33" r:id="rId33"/>
    <sheet name="CC106209" sheetId="34" r:id="rId34"/>
    <sheet name="CC106301" sheetId="35" r:id="rId35"/>
    <sheet name="CC106302" sheetId="36" r:id="rId36"/>
    <sheet name="CC106303" sheetId="37" r:id="rId37"/>
    <sheet name="CC106304" sheetId="38" r:id="rId38"/>
    <sheet name="CC106305" sheetId="39" r:id="rId39"/>
    <sheet name="CC106306" sheetId="40" r:id="rId40"/>
    <sheet name="CC106307" sheetId="41" r:id="rId41"/>
    <sheet name="CC102101" sheetId="42" r:id="rId42"/>
    <sheet name="CC102102C" sheetId="43" r:id="rId43"/>
    <sheet name="CC102201" sheetId="44" r:id="rId44"/>
    <sheet name="CC102202" sheetId="45" r:id="rId45"/>
    <sheet name="CC102203" sheetId="46" r:id="rId46"/>
    <sheet name="CC102204" sheetId="47" r:id="rId47"/>
    <sheet name="CC102205" sheetId="48" r:id="rId48"/>
    <sheet name="CC102206" sheetId="49" r:id="rId49"/>
    <sheet name="CC102207" sheetId="50" r:id="rId50"/>
    <sheet name="CC102208" sheetId="51" r:id="rId51"/>
    <sheet name="CC102209C" sheetId="52" r:id="rId52"/>
    <sheet name="CC102212" sheetId="53" r:id="rId53"/>
    <sheet name="CC102213" sheetId="54" r:id="rId54"/>
    <sheet name="CC103101" sheetId="55" r:id="rId55"/>
    <sheet name="CC103102" sheetId="56" r:id="rId56"/>
    <sheet name="CC103103" sheetId="57" r:id="rId57"/>
    <sheet name="CC103104" sheetId="58" r:id="rId58"/>
    <sheet name="CC103105" sheetId="59" r:id="rId59"/>
    <sheet name="CC103106" sheetId="60" r:id="rId60"/>
    <sheet name="CC103107" sheetId="61" r:id="rId61"/>
    <sheet name="CC103108C" sheetId="62" r:id="rId62"/>
    <sheet name="CC103201" sheetId="63" r:id="rId63"/>
    <sheet name="CC103202" sheetId="64" r:id="rId64"/>
    <sheet name="CC103203" sheetId="65" r:id="rId65"/>
    <sheet name="CC103204" sheetId="66" r:id="rId66"/>
    <sheet name="CC103205" sheetId="67" r:id="rId67"/>
    <sheet name="CC103206" sheetId="68" r:id="rId68"/>
    <sheet name="CC103207" sheetId="69" r:id="rId69"/>
    <sheet name="CC103209" sheetId="70" r:id="rId70"/>
    <sheet name="CC103210" sheetId="71" r:id="rId71"/>
    <sheet name="CC103211" sheetId="72" r:id="rId72"/>
    <sheet name="CC103301" sheetId="73" r:id="rId73"/>
    <sheet name="CC103302" sheetId="74" r:id="rId74"/>
    <sheet name="CC103303" sheetId="75" r:id="rId75"/>
    <sheet name="CC103304" sheetId="76" r:id="rId76"/>
    <sheet name="CC103305" sheetId="77" r:id="rId77"/>
    <sheet name="CC103306" sheetId="78" r:id="rId78"/>
    <sheet name="CC103307" sheetId="79" r:id="rId79"/>
    <sheet name="CC103308" sheetId="80" r:id="rId80"/>
    <sheet name="CC103309" sheetId="81" r:id="rId81"/>
    <sheet name="CC100101" sheetId="82" r:id="rId82"/>
    <sheet name="CC100102" sheetId="83" r:id="rId83"/>
    <sheet name="CC100103" sheetId="84" r:id="rId84"/>
    <sheet name="CC100104" sheetId="85" r:id="rId85"/>
    <sheet name="CC100105" sheetId="86" r:id="rId86"/>
    <sheet name="CC100201" sheetId="87" r:id="rId87"/>
    <sheet name="CC100202" sheetId="88" r:id="rId88"/>
    <sheet name="CC100203" sheetId="89" r:id="rId89"/>
    <sheet name="CC100301" sheetId="90" r:id="rId90"/>
    <sheet name="CC100302" sheetId="91" r:id="rId91"/>
    <sheet name="CC100401" sheetId="92" r:id="rId92"/>
    <sheet name="CC100402" sheetId="93" r:id="rId93"/>
    <sheet name="CC105101" sheetId="94" r:id="rId94"/>
    <sheet name="CC105102" sheetId="95" r:id="rId95"/>
    <sheet name="CC105103C" sheetId="96" r:id="rId96"/>
    <sheet name="CC105105C" sheetId="97" r:id="rId97"/>
    <sheet name="CC105108C" sheetId="98" r:id="rId98"/>
    <sheet name="CC105201C" sheetId="99" r:id="rId99"/>
    <sheet name="CC105203C" sheetId="100" r:id="rId100"/>
    <sheet name="CC105205" sheetId="101" r:id="rId101"/>
    <sheet name="CC105206" sheetId="102" r:id="rId102"/>
    <sheet name="CC105207" sheetId="103" r:id="rId103"/>
    <sheet name="CC105208C" sheetId="104" r:id="rId104"/>
    <sheet name="CC105211" sheetId="105" r:id="rId105"/>
    <sheet name="CC105212C" sheetId="106" r:id="rId106"/>
    <sheet name="CC105214" sheetId="107" r:id="rId107"/>
    <sheet name="CC105301" sheetId="108" r:id="rId108"/>
    <sheet name="CC105302" sheetId="109" r:id="rId109"/>
    <sheet name="CC105303" sheetId="110" r:id="rId110"/>
    <sheet name="CC105304C" sheetId="111" r:id="rId111"/>
    <sheet name="CC105306" sheetId="112" r:id="rId112"/>
    <sheet name="CC105307" sheetId="113" r:id="rId113"/>
    <sheet name="CC105308C" sheetId="114" r:id="rId114"/>
    <sheet name="CC105401" sheetId="115" r:id="rId115"/>
    <sheet name="CC105402" sheetId="116" r:id="rId116"/>
    <sheet name="CC105403" sheetId="117" r:id="rId117"/>
    <sheet name="CC105404" sheetId="118" r:id="rId118"/>
    <sheet name="CC105405" sheetId="119" r:id="rId119"/>
    <sheet name="CC105406" sheetId="120" r:id="rId120"/>
    <sheet name="CC105407" sheetId="121" r:id="rId121"/>
    <sheet name="CC105408C" sheetId="122" r:id="rId122"/>
  </sheets>
  <calcPr calcId="145621"/>
</workbook>
</file>

<file path=xl/calcChain.xml><?xml version="1.0" encoding="utf-8"?>
<calcChain xmlns="http://schemas.openxmlformats.org/spreadsheetml/2006/main">
  <c r="C81" i="122" l="1"/>
  <c r="C77" i="122"/>
  <c r="C76" i="122"/>
  <c r="C75" i="122"/>
  <c r="C73" i="122"/>
  <c r="C72" i="122"/>
  <c r="C70" i="122"/>
  <c r="C67" i="122"/>
  <c r="C66" i="122"/>
  <c r="C62" i="122"/>
  <c r="C61" i="122"/>
  <c r="C56" i="122"/>
  <c r="C53" i="122"/>
  <c r="C52" i="122"/>
  <c r="C51" i="122"/>
  <c r="C50" i="122"/>
  <c r="C48" i="122"/>
  <c r="C47" i="122"/>
  <c r="C46" i="122"/>
  <c r="T42" i="122"/>
  <c r="S42" i="122"/>
  <c r="R42" i="122"/>
  <c r="Q42" i="122"/>
  <c r="P42" i="122"/>
  <c r="O42" i="122"/>
  <c r="N42" i="122"/>
  <c r="M42" i="122"/>
  <c r="L42" i="122"/>
  <c r="K42" i="122"/>
  <c r="J42" i="122"/>
  <c r="I42" i="122"/>
  <c r="H42" i="122"/>
  <c r="G42" i="122"/>
  <c r="F42" i="122"/>
  <c r="E42" i="122"/>
  <c r="D42" i="122"/>
  <c r="B42" i="122"/>
  <c r="C41" i="122"/>
  <c r="C40" i="122"/>
  <c r="C39" i="122"/>
  <c r="C37" i="122"/>
  <c r="C36" i="122"/>
  <c r="C35" i="122"/>
  <c r="C34" i="122"/>
  <c r="C33" i="122"/>
  <c r="C31" i="122"/>
  <c r="C30" i="122"/>
  <c r="C29" i="122"/>
  <c r="C28" i="122"/>
  <c r="C27" i="122"/>
  <c r="C26" i="122"/>
  <c r="C25" i="122"/>
  <c r="C24" i="122"/>
  <c r="C23" i="122"/>
  <c r="C22" i="122"/>
  <c r="C20" i="122"/>
  <c r="C19" i="122"/>
  <c r="C18" i="122"/>
  <c r="C17" i="122"/>
  <c r="C16" i="122"/>
  <c r="C15" i="122"/>
  <c r="C14" i="122"/>
  <c r="C13" i="122"/>
  <c r="C12" i="122"/>
  <c r="C11" i="122"/>
  <c r="C10" i="122"/>
  <c r="C9" i="122"/>
  <c r="C8" i="122"/>
  <c r="C7" i="122"/>
  <c r="C42" i="122" s="1"/>
  <c r="C81" i="121"/>
  <c r="C77" i="121"/>
  <c r="C76" i="121"/>
  <c r="C75" i="121"/>
  <c r="C73" i="121"/>
  <c r="C72" i="121"/>
  <c r="C70" i="121"/>
  <c r="C67" i="121"/>
  <c r="C66" i="121"/>
  <c r="C62" i="121"/>
  <c r="C61" i="121"/>
  <c r="C56" i="121"/>
  <c r="C53" i="121"/>
  <c r="C52" i="121"/>
  <c r="C51" i="121"/>
  <c r="C50" i="121"/>
  <c r="C48" i="121"/>
  <c r="C47" i="121"/>
  <c r="C46" i="121"/>
  <c r="R42" i="121"/>
  <c r="Q42" i="121"/>
  <c r="P42" i="121"/>
  <c r="O42" i="121"/>
  <c r="N42" i="121"/>
  <c r="M42" i="121"/>
  <c r="L42" i="121"/>
  <c r="K42" i="121"/>
  <c r="J42" i="121"/>
  <c r="I42" i="121"/>
  <c r="H42" i="121"/>
  <c r="G42" i="121"/>
  <c r="F42" i="121"/>
  <c r="E42" i="121"/>
  <c r="D42" i="121"/>
  <c r="B42" i="121"/>
  <c r="C41" i="121"/>
  <c r="C40" i="121"/>
  <c r="C39" i="121"/>
  <c r="C37" i="121"/>
  <c r="C36" i="121"/>
  <c r="C35" i="121"/>
  <c r="C34" i="121"/>
  <c r="C33" i="121"/>
  <c r="C31" i="121"/>
  <c r="C30" i="121"/>
  <c r="C29" i="121"/>
  <c r="C28" i="121"/>
  <c r="C27" i="121"/>
  <c r="C26" i="121"/>
  <c r="C25" i="121"/>
  <c r="C24" i="121"/>
  <c r="C23" i="121"/>
  <c r="C22" i="121"/>
  <c r="C20" i="121"/>
  <c r="C19" i="121"/>
  <c r="C18" i="121"/>
  <c r="C17" i="121"/>
  <c r="C16" i="121"/>
  <c r="C15" i="121"/>
  <c r="C14" i="121"/>
  <c r="C13" i="121"/>
  <c r="C12" i="121"/>
  <c r="C11" i="121"/>
  <c r="C10" i="121"/>
  <c r="C9" i="121"/>
  <c r="C8" i="121"/>
  <c r="C7" i="121"/>
  <c r="C42" i="121" s="1"/>
  <c r="C81" i="120"/>
  <c r="C77" i="120"/>
  <c r="C76" i="120"/>
  <c r="C75" i="120"/>
  <c r="C73" i="120"/>
  <c r="C72" i="120"/>
  <c r="C70" i="120"/>
  <c r="C67" i="120"/>
  <c r="C66" i="120"/>
  <c r="C62" i="120"/>
  <c r="C61" i="120"/>
  <c r="C56" i="120"/>
  <c r="C53" i="120"/>
  <c r="C52" i="120"/>
  <c r="C51" i="120"/>
  <c r="C50" i="120"/>
  <c r="C48" i="120"/>
  <c r="C47" i="120"/>
  <c r="C46" i="120"/>
  <c r="R42" i="120"/>
  <c r="Q42" i="120"/>
  <c r="P42" i="120"/>
  <c r="O42" i="120"/>
  <c r="N42" i="120"/>
  <c r="M42" i="120"/>
  <c r="L42" i="120"/>
  <c r="K42" i="120"/>
  <c r="J42" i="120"/>
  <c r="I42" i="120"/>
  <c r="H42" i="120"/>
  <c r="G42" i="120"/>
  <c r="F42" i="120"/>
  <c r="E42" i="120"/>
  <c r="D42" i="120"/>
  <c r="B42" i="120"/>
  <c r="C41" i="120"/>
  <c r="C40" i="120"/>
  <c r="C39" i="120"/>
  <c r="C37" i="120"/>
  <c r="C36" i="120"/>
  <c r="C35" i="120"/>
  <c r="C34" i="120"/>
  <c r="C33" i="120"/>
  <c r="C31" i="120"/>
  <c r="C30" i="120"/>
  <c r="C29" i="120"/>
  <c r="C28" i="120"/>
  <c r="C27" i="120"/>
  <c r="C26" i="120"/>
  <c r="C25" i="120"/>
  <c r="C24" i="120"/>
  <c r="C23" i="120"/>
  <c r="C22" i="120"/>
  <c r="C20" i="120"/>
  <c r="C19" i="120"/>
  <c r="C18" i="120"/>
  <c r="C17" i="120"/>
  <c r="C16" i="120"/>
  <c r="C15" i="120"/>
  <c r="C14" i="120"/>
  <c r="C13" i="120"/>
  <c r="C12" i="120"/>
  <c r="C11" i="120"/>
  <c r="C10" i="120"/>
  <c r="C9" i="120"/>
  <c r="C8" i="120"/>
  <c r="C7" i="120"/>
  <c r="C42" i="120" s="1"/>
  <c r="C81" i="119"/>
  <c r="C77" i="119"/>
  <c r="C76" i="119"/>
  <c r="C75" i="119"/>
  <c r="C73" i="119"/>
  <c r="C72" i="119"/>
  <c r="C70" i="119"/>
  <c r="C67" i="119"/>
  <c r="C66" i="119"/>
  <c r="C62" i="119"/>
  <c r="C61" i="119"/>
  <c r="C56" i="119"/>
  <c r="C53" i="119"/>
  <c r="C52" i="119"/>
  <c r="C51" i="119"/>
  <c r="C50" i="119"/>
  <c r="C48" i="119"/>
  <c r="C47" i="119"/>
  <c r="C46" i="119"/>
  <c r="R42" i="119"/>
  <c r="Q42" i="119"/>
  <c r="P42" i="119"/>
  <c r="O42" i="119"/>
  <c r="N42" i="119"/>
  <c r="M42" i="119"/>
  <c r="L42" i="119"/>
  <c r="K42" i="119"/>
  <c r="J42" i="119"/>
  <c r="I42" i="119"/>
  <c r="H42" i="119"/>
  <c r="G42" i="119"/>
  <c r="F42" i="119"/>
  <c r="E42" i="119"/>
  <c r="D42" i="119"/>
  <c r="B42" i="119"/>
  <c r="C41" i="119"/>
  <c r="C40" i="119"/>
  <c r="C39" i="119"/>
  <c r="C37" i="119"/>
  <c r="C36" i="119"/>
  <c r="C35" i="119"/>
  <c r="C34" i="119"/>
  <c r="C33" i="119"/>
  <c r="C31" i="119"/>
  <c r="C30" i="119"/>
  <c r="C29" i="119"/>
  <c r="C28" i="119"/>
  <c r="C27" i="119"/>
  <c r="C26" i="119"/>
  <c r="C25" i="119"/>
  <c r="C24" i="119"/>
  <c r="C23" i="119"/>
  <c r="C22" i="119"/>
  <c r="C20" i="119"/>
  <c r="C19" i="119"/>
  <c r="C18" i="119"/>
  <c r="C17" i="119"/>
  <c r="C16" i="119"/>
  <c r="C15" i="119"/>
  <c r="C14" i="119"/>
  <c r="C13" i="119"/>
  <c r="C12" i="119"/>
  <c r="C11" i="119"/>
  <c r="C10" i="119"/>
  <c r="C9" i="119"/>
  <c r="C8" i="119"/>
  <c r="C7" i="119"/>
  <c r="C42" i="119" s="1"/>
  <c r="C81" i="118"/>
  <c r="C77" i="118"/>
  <c r="C76" i="118"/>
  <c r="C75" i="118"/>
  <c r="C73" i="118"/>
  <c r="C72" i="118"/>
  <c r="C70" i="118"/>
  <c r="C67" i="118"/>
  <c r="C66" i="118"/>
  <c r="C62" i="118"/>
  <c r="C61" i="118"/>
  <c r="C56" i="118"/>
  <c r="C53" i="118"/>
  <c r="C52" i="118"/>
  <c r="C51" i="118"/>
  <c r="C50" i="118"/>
  <c r="C48" i="118"/>
  <c r="C47" i="118"/>
  <c r="C46" i="118"/>
  <c r="R42" i="118"/>
  <c r="Q42" i="118"/>
  <c r="P42" i="118"/>
  <c r="O42" i="118"/>
  <c r="N42" i="118"/>
  <c r="M42" i="118"/>
  <c r="L42" i="118"/>
  <c r="K42" i="118"/>
  <c r="J42" i="118"/>
  <c r="I42" i="118"/>
  <c r="H42" i="118"/>
  <c r="G42" i="118"/>
  <c r="F42" i="118"/>
  <c r="E42" i="118"/>
  <c r="D42" i="118"/>
  <c r="B42" i="118"/>
  <c r="C41" i="118"/>
  <c r="C40" i="118"/>
  <c r="C39" i="118"/>
  <c r="C37" i="118"/>
  <c r="C36" i="118"/>
  <c r="C35" i="118"/>
  <c r="C34" i="118"/>
  <c r="C33" i="118"/>
  <c r="C31" i="118"/>
  <c r="C30" i="118"/>
  <c r="C29" i="118"/>
  <c r="C28" i="118"/>
  <c r="C27" i="118"/>
  <c r="C26" i="118"/>
  <c r="C25" i="118"/>
  <c r="C24" i="118"/>
  <c r="C23" i="118"/>
  <c r="C22" i="118"/>
  <c r="C20" i="118"/>
  <c r="C19" i="118"/>
  <c r="C18" i="118"/>
  <c r="C17" i="118"/>
  <c r="C16" i="118"/>
  <c r="C15" i="118"/>
  <c r="C14" i="118"/>
  <c r="C13" i="118"/>
  <c r="C12" i="118"/>
  <c r="C11" i="118"/>
  <c r="C10" i="118"/>
  <c r="C9" i="118"/>
  <c r="C8" i="118"/>
  <c r="C7" i="118"/>
  <c r="C42" i="118" s="1"/>
  <c r="C81" i="117"/>
  <c r="C77" i="117"/>
  <c r="C76" i="117"/>
  <c r="C75" i="117"/>
  <c r="C73" i="117"/>
  <c r="C72" i="117"/>
  <c r="C70" i="117"/>
  <c r="C67" i="117"/>
  <c r="C66" i="117"/>
  <c r="C62" i="117"/>
  <c r="C61" i="117"/>
  <c r="C56" i="117"/>
  <c r="C53" i="117"/>
  <c r="C52" i="117"/>
  <c r="C51" i="117"/>
  <c r="C50" i="117"/>
  <c r="C48" i="117"/>
  <c r="C47" i="117"/>
  <c r="C46" i="117"/>
  <c r="R42" i="117"/>
  <c r="Q42" i="117"/>
  <c r="P42" i="117"/>
  <c r="O42" i="117"/>
  <c r="N42" i="117"/>
  <c r="M42" i="117"/>
  <c r="L42" i="117"/>
  <c r="K42" i="117"/>
  <c r="J42" i="117"/>
  <c r="I42" i="117"/>
  <c r="H42" i="117"/>
  <c r="G42" i="117"/>
  <c r="F42" i="117"/>
  <c r="E42" i="117"/>
  <c r="D42" i="117"/>
  <c r="B42" i="117"/>
  <c r="C41" i="117"/>
  <c r="C40" i="117"/>
  <c r="C39" i="117"/>
  <c r="C37" i="117"/>
  <c r="C36" i="117"/>
  <c r="C35" i="117"/>
  <c r="C34" i="117"/>
  <c r="C33" i="117"/>
  <c r="C31" i="117"/>
  <c r="C30" i="117"/>
  <c r="C29" i="117"/>
  <c r="C28" i="117"/>
  <c r="C27" i="117"/>
  <c r="C26" i="117"/>
  <c r="C25" i="117"/>
  <c r="C24" i="117"/>
  <c r="C23" i="117"/>
  <c r="C22" i="117"/>
  <c r="C20" i="117"/>
  <c r="C19" i="117"/>
  <c r="C18" i="117"/>
  <c r="C17" i="117"/>
  <c r="C16" i="117"/>
  <c r="C15" i="117"/>
  <c r="C14" i="117"/>
  <c r="C13" i="117"/>
  <c r="C12" i="117"/>
  <c r="C11" i="117"/>
  <c r="C10" i="117"/>
  <c r="C9" i="117"/>
  <c r="C8" i="117"/>
  <c r="C7" i="117"/>
  <c r="C42" i="117" s="1"/>
  <c r="C81" i="116"/>
  <c r="C77" i="116"/>
  <c r="C76" i="116"/>
  <c r="C75" i="116"/>
  <c r="C73" i="116"/>
  <c r="C72" i="116"/>
  <c r="C70" i="116"/>
  <c r="C67" i="116"/>
  <c r="C66" i="116"/>
  <c r="C62" i="116"/>
  <c r="C61" i="116"/>
  <c r="C56" i="116"/>
  <c r="C53" i="116"/>
  <c r="C52" i="116"/>
  <c r="C51" i="116"/>
  <c r="C50" i="116"/>
  <c r="C48" i="116"/>
  <c r="C47" i="116"/>
  <c r="C46" i="116"/>
  <c r="R42" i="116"/>
  <c r="Q42" i="116"/>
  <c r="P42" i="116"/>
  <c r="O42" i="116"/>
  <c r="N42" i="116"/>
  <c r="M42" i="116"/>
  <c r="L42" i="116"/>
  <c r="K42" i="116"/>
  <c r="J42" i="116"/>
  <c r="I42" i="116"/>
  <c r="H42" i="116"/>
  <c r="G42" i="116"/>
  <c r="F42" i="116"/>
  <c r="E42" i="116"/>
  <c r="D42" i="116"/>
  <c r="B42" i="116"/>
  <c r="C41" i="116"/>
  <c r="C40" i="116"/>
  <c r="C39" i="116"/>
  <c r="C37" i="116"/>
  <c r="C36" i="116"/>
  <c r="C35" i="116"/>
  <c r="C34" i="116"/>
  <c r="C33" i="116"/>
  <c r="C31" i="116"/>
  <c r="C30" i="116"/>
  <c r="C29" i="116"/>
  <c r="C28" i="116"/>
  <c r="C27" i="116"/>
  <c r="C26" i="116"/>
  <c r="C25" i="116"/>
  <c r="C24" i="116"/>
  <c r="C23" i="116"/>
  <c r="C22" i="116"/>
  <c r="C20" i="116"/>
  <c r="C19" i="116"/>
  <c r="C18" i="116"/>
  <c r="C17" i="116"/>
  <c r="C16" i="116"/>
  <c r="C15" i="116"/>
  <c r="C14" i="116"/>
  <c r="C13" i="116"/>
  <c r="C12" i="116"/>
  <c r="C11" i="116"/>
  <c r="C10" i="116"/>
  <c r="C9" i="116"/>
  <c r="C8" i="116"/>
  <c r="C7" i="116"/>
  <c r="C42" i="116" s="1"/>
  <c r="C81" i="115"/>
  <c r="C77" i="115"/>
  <c r="C76" i="115"/>
  <c r="C75" i="115"/>
  <c r="C73" i="115"/>
  <c r="C72" i="115"/>
  <c r="C70" i="115"/>
  <c r="C67" i="115"/>
  <c r="C66" i="115"/>
  <c r="C62" i="115"/>
  <c r="C61" i="115"/>
  <c r="C56" i="115"/>
  <c r="C53" i="115"/>
  <c r="C52" i="115"/>
  <c r="C51" i="115"/>
  <c r="C50" i="115"/>
  <c r="C48" i="115"/>
  <c r="C47" i="115"/>
  <c r="C46" i="115"/>
  <c r="R42" i="115"/>
  <c r="Q42" i="115"/>
  <c r="P42" i="115"/>
  <c r="O42" i="115"/>
  <c r="N42" i="115"/>
  <c r="M42" i="115"/>
  <c r="L42" i="115"/>
  <c r="K42" i="115"/>
  <c r="J42" i="115"/>
  <c r="I42" i="115"/>
  <c r="H42" i="115"/>
  <c r="G42" i="115"/>
  <c r="F42" i="115"/>
  <c r="E42" i="115"/>
  <c r="D42" i="115"/>
  <c r="B42" i="115"/>
  <c r="C41" i="115"/>
  <c r="C40" i="115"/>
  <c r="C39" i="115"/>
  <c r="C37" i="115"/>
  <c r="C36" i="115"/>
  <c r="C35" i="115"/>
  <c r="C34" i="115"/>
  <c r="C33" i="115"/>
  <c r="C31" i="115"/>
  <c r="C30" i="115"/>
  <c r="C29" i="115"/>
  <c r="C28" i="115"/>
  <c r="C27" i="115"/>
  <c r="C26" i="115"/>
  <c r="C25" i="115"/>
  <c r="C24" i="115"/>
  <c r="C23" i="115"/>
  <c r="C22" i="115"/>
  <c r="C20" i="115"/>
  <c r="C19" i="115"/>
  <c r="C18" i="115"/>
  <c r="C17" i="115"/>
  <c r="C16" i="115"/>
  <c r="C15" i="115"/>
  <c r="C14" i="115"/>
  <c r="C13" i="115"/>
  <c r="C12" i="115"/>
  <c r="C11" i="115"/>
  <c r="C10" i="115"/>
  <c r="C9" i="115"/>
  <c r="C8" i="115"/>
  <c r="C7" i="115"/>
  <c r="C42" i="115" s="1"/>
  <c r="C81" i="114"/>
  <c r="C77" i="114"/>
  <c r="C76" i="114"/>
  <c r="C75" i="114"/>
  <c r="C73" i="114"/>
  <c r="C72" i="114"/>
  <c r="C70" i="114"/>
  <c r="C67" i="114"/>
  <c r="C66" i="114"/>
  <c r="C62" i="114"/>
  <c r="C61" i="114"/>
  <c r="C56" i="114"/>
  <c r="C53" i="114"/>
  <c r="C52" i="114"/>
  <c r="C51" i="114"/>
  <c r="C50" i="114"/>
  <c r="C48" i="114"/>
  <c r="C47" i="114"/>
  <c r="C46" i="114"/>
  <c r="V42" i="114"/>
  <c r="U42" i="114"/>
  <c r="T42" i="114"/>
  <c r="S42" i="114"/>
  <c r="R42" i="114"/>
  <c r="Q42" i="114"/>
  <c r="P42" i="114"/>
  <c r="O42" i="114"/>
  <c r="N42" i="114"/>
  <c r="M42" i="114"/>
  <c r="L42" i="114"/>
  <c r="K42" i="114"/>
  <c r="J42" i="114"/>
  <c r="I42" i="114"/>
  <c r="H42" i="114"/>
  <c r="G42" i="114"/>
  <c r="F42" i="114"/>
  <c r="E42" i="114"/>
  <c r="D42" i="114"/>
  <c r="B42" i="114"/>
  <c r="C41" i="114"/>
  <c r="C40" i="114"/>
  <c r="C39" i="114"/>
  <c r="C37" i="114"/>
  <c r="C36" i="114"/>
  <c r="C35" i="114"/>
  <c r="C34" i="114"/>
  <c r="C33" i="114"/>
  <c r="C31" i="114"/>
  <c r="C30" i="114"/>
  <c r="C29" i="114"/>
  <c r="C28" i="114"/>
  <c r="C27" i="114"/>
  <c r="C26" i="114"/>
  <c r="C25" i="114"/>
  <c r="C24" i="114"/>
  <c r="C23" i="114"/>
  <c r="C22" i="114"/>
  <c r="C20" i="114"/>
  <c r="C19" i="114"/>
  <c r="C18" i="114"/>
  <c r="C17" i="114"/>
  <c r="C16" i="114"/>
  <c r="C15" i="114"/>
  <c r="C14" i="114"/>
  <c r="C13" i="114"/>
  <c r="C12" i="114"/>
  <c r="C11" i="114"/>
  <c r="C10" i="114"/>
  <c r="C9" i="114"/>
  <c r="C8" i="114"/>
  <c r="C7" i="114"/>
  <c r="C42" i="114" s="1"/>
  <c r="C81" i="113"/>
  <c r="C77" i="113"/>
  <c r="C76" i="113"/>
  <c r="C75" i="113"/>
  <c r="C73" i="113"/>
  <c r="C72" i="113"/>
  <c r="C70" i="113"/>
  <c r="C67" i="113"/>
  <c r="C66" i="113"/>
  <c r="C62" i="113"/>
  <c r="C61" i="113"/>
  <c r="C56" i="113"/>
  <c r="C53" i="113"/>
  <c r="C52" i="113"/>
  <c r="C51" i="113"/>
  <c r="C50" i="113"/>
  <c r="C48" i="113"/>
  <c r="C47" i="113"/>
  <c r="C46" i="113"/>
  <c r="T42" i="113"/>
  <c r="S42" i="113"/>
  <c r="R42" i="113"/>
  <c r="Q42" i="113"/>
  <c r="P42" i="113"/>
  <c r="O42" i="113"/>
  <c r="N42" i="113"/>
  <c r="M42" i="113"/>
  <c r="L42" i="113"/>
  <c r="K42" i="113"/>
  <c r="J42" i="113"/>
  <c r="I42" i="113"/>
  <c r="H42" i="113"/>
  <c r="G42" i="113"/>
  <c r="F42" i="113"/>
  <c r="E42" i="113"/>
  <c r="D42" i="113"/>
  <c r="B42" i="113"/>
  <c r="C41" i="113"/>
  <c r="C40" i="113"/>
  <c r="C39" i="113"/>
  <c r="C37" i="113"/>
  <c r="C36" i="113"/>
  <c r="C35" i="113"/>
  <c r="C34" i="113"/>
  <c r="C33" i="113"/>
  <c r="C31" i="113"/>
  <c r="C30" i="113"/>
  <c r="C29" i="113"/>
  <c r="C28" i="113"/>
  <c r="C27" i="113"/>
  <c r="C26" i="113"/>
  <c r="C25" i="113"/>
  <c r="C24" i="113"/>
  <c r="C23" i="113"/>
  <c r="C22" i="113"/>
  <c r="C20" i="113"/>
  <c r="C19" i="113"/>
  <c r="C18" i="113"/>
  <c r="C17" i="113"/>
  <c r="C16" i="113"/>
  <c r="C15" i="113"/>
  <c r="C14" i="113"/>
  <c r="C13" i="113"/>
  <c r="C12" i="113"/>
  <c r="C11" i="113"/>
  <c r="C10" i="113"/>
  <c r="C9" i="113"/>
  <c r="C8" i="113"/>
  <c r="C42" i="113" s="1"/>
  <c r="C7" i="113"/>
  <c r="C81" i="112"/>
  <c r="C77" i="112"/>
  <c r="C76" i="112"/>
  <c r="C75" i="112"/>
  <c r="C73" i="112"/>
  <c r="C72" i="112"/>
  <c r="C70" i="112"/>
  <c r="C67" i="112"/>
  <c r="C66" i="112"/>
  <c r="C62" i="112"/>
  <c r="C61" i="112"/>
  <c r="C56" i="112"/>
  <c r="C53" i="112"/>
  <c r="C52" i="112"/>
  <c r="C51" i="112"/>
  <c r="C50" i="112"/>
  <c r="C48" i="112"/>
  <c r="C47" i="112"/>
  <c r="C46" i="112"/>
  <c r="R42" i="112"/>
  <c r="Q42" i="112"/>
  <c r="P42" i="112"/>
  <c r="O42" i="112"/>
  <c r="N42" i="112"/>
  <c r="M42" i="112"/>
  <c r="L42" i="112"/>
  <c r="K42" i="112"/>
  <c r="J42" i="112"/>
  <c r="I42" i="112"/>
  <c r="H42" i="112"/>
  <c r="G42" i="112"/>
  <c r="F42" i="112"/>
  <c r="E42" i="112"/>
  <c r="D42" i="112"/>
  <c r="B42" i="112"/>
  <c r="C41" i="112"/>
  <c r="C40" i="112"/>
  <c r="C39" i="112"/>
  <c r="C37" i="112"/>
  <c r="C36" i="112"/>
  <c r="C35" i="112"/>
  <c r="C34" i="112"/>
  <c r="C33" i="112"/>
  <c r="C31" i="112"/>
  <c r="C30" i="112"/>
  <c r="C29" i="112"/>
  <c r="C28" i="112"/>
  <c r="C27" i="112"/>
  <c r="C26" i="112"/>
  <c r="C25" i="112"/>
  <c r="C24" i="112"/>
  <c r="C23" i="112"/>
  <c r="C22" i="112"/>
  <c r="C20" i="112"/>
  <c r="C19" i="112"/>
  <c r="C18" i="112"/>
  <c r="C17" i="112"/>
  <c r="C16" i="112"/>
  <c r="C15" i="112"/>
  <c r="C14" i="112"/>
  <c r="C13" i="112"/>
  <c r="C12" i="112"/>
  <c r="C11" i="112"/>
  <c r="C10" i="112"/>
  <c r="C9" i="112"/>
  <c r="C8" i="112"/>
  <c r="C42" i="112" s="1"/>
  <c r="C7" i="112"/>
  <c r="C81" i="111"/>
  <c r="C77" i="111"/>
  <c r="C76" i="111"/>
  <c r="C75" i="111"/>
  <c r="C73" i="111"/>
  <c r="C72" i="111"/>
  <c r="C70" i="111"/>
  <c r="C67" i="111"/>
  <c r="C66" i="111"/>
  <c r="C62" i="111"/>
  <c r="C61" i="111"/>
  <c r="C56" i="111"/>
  <c r="C53" i="111"/>
  <c r="C52" i="111"/>
  <c r="C51" i="111"/>
  <c r="C50" i="111"/>
  <c r="C48" i="111"/>
  <c r="C47" i="111"/>
  <c r="C46" i="111"/>
  <c r="R42" i="111"/>
  <c r="Q42" i="111"/>
  <c r="P42" i="111"/>
  <c r="O42" i="111"/>
  <c r="N42" i="111"/>
  <c r="M42" i="111"/>
  <c r="L42" i="111"/>
  <c r="K42" i="111"/>
  <c r="J42" i="111"/>
  <c r="I42" i="111"/>
  <c r="H42" i="111"/>
  <c r="G42" i="111"/>
  <c r="F42" i="111"/>
  <c r="E42" i="111"/>
  <c r="D42" i="111"/>
  <c r="B42" i="111"/>
  <c r="C41" i="111"/>
  <c r="C40" i="111"/>
  <c r="C39" i="111"/>
  <c r="C37" i="111"/>
  <c r="C36" i="111"/>
  <c r="C35" i="111"/>
  <c r="C34" i="111"/>
  <c r="C33" i="111"/>
  <c r="C31" i="111"/>
  <c r="C30" i="111"/>
  <c r="C29" i="111"/>
  <c r="C28" i="111"/>
  <c r="C27" i="111"/>
  <c r="C26" i="111"/>
  <c r="C25" i="111"/>
  <c r="C24" i="111"/>
  <c r="C23" i="111"/>
  <c r="C22" i="111"/>
  <c r="C20" i="111"/>
  <c r="C19" i="111"/>
  <c r="C18" i="111"/>
  <c r="C17" i="111"/>
  <c r="C16" i="111"/>
  <c r="C15" i="111"/>
  <c r="C14" i="111"/>
  <c r="C13" i="111"/>
  <c r="C12" i="111"/>
  <c r="C11" i="111"/>
  <c r="C10" i="111"/>
  <c r="C9" i="111"/>
  <c r="C8" i="111"/>
  <c r="C42" i="111" s="1"/>
  <c r="C7" i="111"/>
  <c r="C81" i="110"/>
  <c r="C77" i="110"/>
  <c r="C76" i="110"/>
  <c r="C75" i="110"/>
  <c r="C73" i="110"/>
  <c r="C72" i="110"/>
  <c r="C70" i="110"/>
  <c r="C67" i="110"/>
  <c r="C66" i="110"/>
  <c r="C62" i="110"/>
  <c r="C61" i="110"/>
  <c r="C56" i="110"/>
  <c r="C53" i="110"/>
  <c r="C52" i="110"/>
  <c r="C51" i="110"/>
  <c r="C50" i="110"/>
  <c r="C48" i="110"/>
  <c r="C47" i="110"/>
  <c r="C46" i="110"/>
  <c r="R42" i="110"/>
  <c r="Q42" i="110"/>
  <c r="P42" i="110"/>
  <c r="O42" i="110"/>
  <c r="N42" i="110"/>
  <c r="M42" i="110"/>
  <c r="L42" i="110"/>
  <c r="K42" i="110"/>
  <c r="J42" i="110"/>
  <c r="I42" i="110"/>
  <c r="H42" i="110"/>
  <c r="G42" i="110"/>
  <c r="F42" i="110"/>
  <c r="E42" i="110"/>
  <c r="D42" i="110"/>
  <c r="B42" i="110"/>
  <c r="C41" i="110"/>
  <c r="C40" i="110"/>
  <c r="C39" i="110"/>
  <c r="C37" i="110"/>
  <c r="C36" i="110"/>
  <c r="C35" i="110"/>
  <c r="C34" i="110"/>
  <c r="C33" i="110"/>
  <c r="C31" i="110"/>
  <c r="C30" i="110"/>
  <c r="C29" i="110"/>
  <c r="C28" i="110"/>
  <c r="C27" i="110"/>
  <c r="C26" i="110"/>
  <c r="C25" i="110"/>
  <c r="C24" i="110"/>
  <c r="C23" i="110"/>
  <c r="C22" i="110"/>
  <c r="C20" i="110"/>
  <c r="C19" i="110"/>
  <c r="C18" i="110"/>
  <c r="C17" i="110"/>
  <c r="C16" i="110"/>
  <c r="C15" i="110"/>
  <c r="C14" i="110"/>
  <c r="C13" i="110"/>
  <c r="C12" i="110"/>
  <c r="C11" i="110"/>
  <c r="C10" i="110"/>
  <c r="C9" i="110"/>
  <c r="C8" i="110"/>
  <c r="C42" i="110" s="1"/>
  <c r="C7" i="110"/>
  <c r="C81" i="109"/>
  <c r="C77" i="109"/>
  <c r="C76" i="109"/>
  <c r="C75" i="109"/>
  <c r="C73" i="109"/>
  <c r="C72" i="109"/>
  <c r="C70" i="109"/>
  <c r="C67" i="109"/>
  <c r="C66" i="109"/>
  <c r="C62" i="109"/>
  <c r="C61" i="109"/>
  <c r="C56" i="109"/>
  <c r="C53" i="109"/>
  <c r="C52" i="109"/>
  <c r="C51" i="109"/>
  <c r="C50" i="109"/>
  <c r="C48" i="109"/>
  <c r="C47" i="109"/>
  <c r="C46" i="109"/>
  <c r="R42" i="109"/>
  <c r="Q42" i="109"/>
  <c r="P42" i="109"/>
  <c r="O42" i="109"/>
  <c r="N42" i="109"/>
  <c r="M42" i="109"/>
  <c r="L42" i="109"/>
  <c r="K42" i="109"/>
  <c r="J42" i="109"/>
  <c r="I42" i="109"/>
  <c r="H42" i="109"/>
  <c r="G42" i="109"/>
  <c r="F42" i="109"/>
  <c r="E42" i="109"/>
  <c r="D42" i="109"/>
  <c r="B42" i="109"/>
  <c r="C41" i="109"/>
  <c r="C40" i="109"/>
  <c r="C39" i="109"/>
  <c r="C37" i="109"/>
  <c r="C36" i="109"/>
  <c r="C35" i="109"/>
  <c r="C34" i="109"/>
  <c r="C33" i="109"/>
  <c r="C31" i="109"/>
  <c r="C30" i="109"/>
  <c r="C29" i="109"/>
  <c r="C28" i="109"/>
  <c r="C27" i="109"/>
  <c r="C26" i="109"/>
  <c r="C25" i="109"/>
  <c r="C24" i="109"/>
  <c r="C23" i="109"/>
  <c r="C22" i="109"/>
  <c r="C20" i="109"/>
  <c r="C19" i="109"/>
  <c r="C18" i="109"/>
  <c r="C17" i="109"/>
  <c r="C16" i="109"/>
  <c r="C15" i="109"/>
  <c r="C14" i="109"/>
  <c r="C13" i="109"/>
  <c r="C12" i="109"/>
  <c r="C11" i="109"/>
  <c r="C10" i="109"/>
  <c r="C9" i="109"/>
  <c r="C8" i="109"/>
  <c r="C42" i="109" s="1"/>
  <c r="C7" i="109"/>
  <c r="C81" i="108"/>
  <c r="C77" i="108"/>
  <c r="C76" i="108"/>
  <c r="C75" i="108"/>
  <c r="C73" i="108"/>
  <c r="C72" i="108"/>
  <c r="C70" i="108"/>
  <c r="C67" i="108"/>
  <c r="C66" i="108"/>
  <c r="C62" i="108"/>
  <c r="C61" i="108"/>
  <c r="C56" i="108"/>
  <c r="C53" i="108"/>
  <c r="C52" i="108"/>
  <c r="C51" i="108"/>
  <c r="C50" i="108"/>
  <c r="C48" i="108"/>
  <c r="C47" i="108"/>
  <c r="C46" i="108"/>
  <c r="R42" i="108"/>
  <c r="Q42" i="108"/>
  <c r="P42" i="108"/>
  <c r="O42" i="108"/>
  <c r="N42" i="108"/>
  <c r="M42" i="108"/>
  <c r="L42" i="108"/>
  <c r="K42" i="108"/>
  <c r="J42" i="108"/>
  <c r="I42" i="108"/>
  <c r="H42" i="108"/>
  <c r="G42" i="108"/>
  <c r="F42" i="108"/>
  <c r="E42" i="108"/>
  <c r="D42" i="108"/>
  <c r="B42" i="108"/>
  <c r="C41" i="108"/>
  <c r="C40" i="108"/>
  <c r="C39" i="108"/>
  <c r="C37" i="108"/>
  <c r="C36" i="108"/>
  <c r="C35" i="108"/>
  <c r="C34" i="108"/>
  <c r="C33" i="108"/>
  <c r="C31" i="108"/>
  <c r="C30" i="108"/>
  <c r="C29" i="108"/>
  <c r="C28" i="108"/>
  <c r="C27" i="108"/>
  <c r="C26" i="108"/>
  <c r="C25" i="108"/>
  <c r="C24" i="108"/>
  <c r="C23" i="108"/>
  <c r="C22" i="108"/>
  <c r="C20" i="108"/>
  <c r="C19" i="108"/>
  <c r="C18" i="108"/>
  <c r="C17" i="108"/>
  <c r="C16" i="108"/>
  <c r="C15" i="108"/>
  <c r="C14" i="108"/>
  <c r="C13" i="108"/>
  <c r="C12" i="108"/>
  <c r="C11" i="108"/>
  <c r="C10" i="108"/>
  <c r="C9" i="108"/>
  <c r="C8" i="108"/>
  <c r="C42" i="108" s="1"/>
  <c r="C7" i="108"/>
  <c r="C81" i="107"/>
  <c r="C77" i="107"/>
  <c r="C76" i="107"/>
  <c r="C75" i="107"/>
  <c r="C73" i="107"/>
  <c r="C72" i="107"/>
  <c r="C70" i="107"/>
  <c r="C67" i="107"/>
  <c r="C66" i="107"/>
  <c r="C62" i="107"/>
  <c r="C61" i="107"/>
  <c r="C56" i="107"/>
  <c r="C53" i="107"/>
  <c r="C52" i="107"/>
  <c r="C51" i="107"/>
  <c r="C50" i="107"/>
  <c r="C48" i="107"/>
  <c r="C47" i="107"/>
  <c r="C46" i="107"/>
  <c r="R42" i="107"/>
  <c r="Q42" i="107"/>
  <c r="P42" i="107"/>
  <c r="O42" i="107"/>
  <c r="N42" i="107"/>
  <c r="M42" i="107"/>
  <c r="L42" i="107"/>
  <c r="K42" i="107"/>
  <c r="J42" i="107"/>
  <c r="I42" i="107"/>
  <c r="H42" i="107"/>
  <c r="G42" i="107"/>
  <c r="F42" i="107"/>
  <c r="E42" i="107"/>
  <c r="D42" i="107"/>
  <c r="B42" i="107"/>
  <c r="C41" i="107"/>
  <c r="C40" i="107"/>
  <c r="C39" i="107"/>
  <c r="C37" i="107"/>
  <c r="C36" i="107"/>
  <c r="C35" i="107"/>
  <c r="C34" i="107"/>
  <c r="C33" i="107"/>
  <c r="C31" i="107"/>
  <c r="C30" i="107"/>
  <c r="C29" i="107"/>
  <c r="C28" i="107"/>
  <c r="C27" i="107"/>
  <c r="C26" i="107"/>
  <c r="C25" i="107"/>
  <c r="C24" i="107"/>
  <c r="C23" i="107"/>
  <c r="C22" i="107"/>
  <c r="C20" i="107"/>
  <c r="C19" i="107"/>
  <c r="C18" i="107"/>
  <c r="C17" i="107"/>
  <c r="C16" i="107"/>
  <c r="C15" i="107"/>
  <c r="C14" i="107"/>
  <c r="C13" i="107"/>
  <c r="C12" i="107"/>
  <c r="C11" i="107"/>
  <c r="C10" i="107"/>
  <c r="C9" i="107"/>
  <c r="C8" i="107"/>
  <c r="C42" i="107" s="1"/>
  <c r="C7" i="107"/>
  <c r="C81" i="106"/>
  <c r="C77" i="106"/>
  <c r="C76" i="106"/>
  <c r="C75" i="106"/>
  <c r="C73" i="106"/>
  <c r="C72" i="106"/>
  <c r="C70" i="106"/>
  <c r="C67" i="106"/>
  <c r="C66" i="106"/>
  <c r="C62" i="106"/>
  <c r="C61" i="106"/>
  <c r="C56" i="106"/>
  <c r="C53" i="106"/>
  <c r="C52" i="106"/>
  <c r="C51" i="106"/>
  <c r="C50" i="106"/>
  <c r="C48" i="106"/>
  <c r="C47" i="106"/>
  <c r="C46" i="106"/>
  <c r="T42" i="106"/>
  <c r="S42" i="106"/>
  <c r="R42" i="106"/>
  <c r="Q42" i="106"/>
  <c r="P42" i="106"/>
  <c r="O42" i="106"/>
  <c r="N42" i="106"/>
  <c r="M42" i="106"/>
  <c r="L42" i="106"/>
  <c r="K42" i="106"/>
  <c r="J42" i="106"/>
  <c r="I42" i="106"/>
  <c r="H42" i="106"/>
  <c r="G42" i="106"/>
  <c r="F42" i="106"/>
  <c r="E42" i="106"/>
  <c r="D42" i="106"/>
  <c r="B42" i="106"/>
  <c r="C41" i="106"/>
  <c r="C40" i="106"/>
  <c r="C39" i="106"/>
  <c r="C37" i="106"/>
  <c r="C36" i="106"/>
  <c r="C35" i="106"/>
  <c r="C34" i="106"/>
  <c r="C33" i="106"/>
  <c r="C31" i="106"/>
  <c r="C30" i="106"/>
  <c r="C29" i="106"/>
  <c r="C28" i="106"/>
  <c r="C27" i="106"/>
  <c r="C26" i="106"/>
  <c r="C25" i="106"/>
  <c r="C24" i="106"/>
  <c r="C23" i="106"/>
  <c r="C22" i="106"/>
  <c r="C20" i="106"/>
  <c r="C19" i="106"/>
  <c r="C18" i="106"/>
  <c r="C17" i="106"/>
  <c r="C16" i="106"/>
  <c r="C15" i="106"/>
  <c r="C14" i="106"/>
  <c r="C13" i="106"/>
  <c r="C12" i="106"/>
  <c r="C11" i="106"/>
  <c r="C10" i="106"/>
  <c r="C9" i="106"/>
  <c r="C8" i="106"/>
  <c r="C42" i="106" s="1"/>
  <c r="C7" i="106"/>
  <c r="C81" i="105"/>
  <c r="C77" i="105"/>
  <c r="C76" i="105"/>
  <c r="C75" i="105"/>
  <c r="C73" i="105"/>
  <c r="C72" i="105"/>
  <c r="C70" i="105"/>
  <c r="C67" i="105"/>
  <c r="C66" i="105"/>
  <c r="C62" i="105"/>
  <c r="C61" i="105"/>
  <c r="C56" i="105"/>
  <c r="C53" i="105"/>
  <c r="C52" i="105"/>
  <c r="C51" i="105"/>
  <c r="C50" i="105"/>
  <c r="C48" i="105"/>
  <c r="C47" i="105"/>
  <c r="C46" i="105"/>
  <c r="R42" i="105"/>
  <c r="Q42" i="105"/>
  <c r="P42" i="105"/>
  <c r="O42" i="105"/>
  <c r="N42" i="105"/>
  <c r="M42" i="105"/>
  <c r="L42" i="105"/>
  <c r="K42" i="105"/>
  <c r="J42" i="105"/>
  <c r="I42" i="105"/>
  <c r="H42" i="105"/>
  <c r="G42" i="105"/>
  <c r="F42" i="105"/>
  <c r="E42" i="105"/>
  <c r="D42" i="105"/>
  <c r="B42" i="105"/>
  <c r="C41" i="105"/>
  <c r="C40" i="105"/>
  <c r="C39" i="105"/>
  <c r="C37" i="105"/>
  <c r="C36" i="105"/>
  <c r="C35" i="105"/>
  <c r="C34" i="105"/>
  <c r="C33" i="105"/>
  <c r="C31" i="105"/>
  <c r="C30" i="105"/>
  <c r="C29" i="105"/>
  <c r="C28" i="105"/>
  <c r="C27" i="105"/>
  <c r="C26" i="105"/>
  <c r="C25" i="105"/>
  <c r="C24" i="105"/>
  <c r="C23" i="105"/>
  <c r="C22" i="105"/>
  <c r="C20" i="105"/>
  <c r="C19" i="105"/>
  <c r="C18" i="105"/>
  <c r="C17" i="105"/>
  <c r="C16" i="105"/>
  <c r="C15" i="105"/>
  <c r="C14" i="105"/>
  <c r="C13" i="105"/>
  <c r="C12" i="105"/>
  <c r="C11" i="105"/>
  <c r="C10" i="105"/>
  <c r="C9" i="105"/>
  <c r="C8" i="105"/>
  <c r="C42" i="105" s="1"/>
  <c r="C7" i="105"/>
  <c r="C81" i="104"/>
  <c r="C77" i="104"/>
  <c r="C76" i="104"/>
  <c r="C75" i="104"/>
  <c r="C73" i="104"/>
  <c r="C72" i="104"/>
  <c r="C70" i="104"/>
  <c r="C67" i="104"/>
  <c r="C66" i="104"/>
  <c r="C62" i="104"/>
  <c r="C61" i="104"/>
  <c r="C56" i="104"/>
  <c r="C53" i="104"/>
  <c r="C52" i="104"/>
  <c r="C51" i="104"/>
  <c r="C50" i="104"/>
  <c r="C48" i="104"/>
  <c r="C47" i="104"/>
  <c r="C46" i="104"/>
  <c r="V42" i="104"/>
  <c r="U42" i="104"/>
  <c r="T42" i="104"/>
  <c r="S42" i="104"/>
  <c r="R42" i="104"/>
  <c r="Q42" i="104"/>
  <c r="P42" i="104"/>
  <c r="O42" i="104"/>
  <c r="N42" i="104"/>
  <c r="M42" i="104"/>
  <c r="L42" i="104"/>
  <c r="K42" i="104"/>
  <c r="J42" i="104"/>
  <c r="I42" i="104"/>
  <c r="H42" i="104"/>
  <c r="G42" i="104"/>
  <c r="F42" i="104"/>
  <c r="E42" i="104"/>
  <c r="D42" i="104"/>
  <c r="B42" i="104"/>
  <c r="C41" i="104"/>
  <c r="C40" i="104"/>
  <c r="C39" i="104"/>
  <c r="C37" i="104"/>
  <c r="C36" i="104"/>
  <c r="C35" i="104"/>
  <c r="C34" i="104"/>
  <c r="C33" i="104"/>
  <c r="C31" i="104"/>
  <c r="C30" i="104"/>
  <c r="C29" i="104"/>
  <c r="C28" i="104"/>
  <c r="C27" i="104"/>
  <c r="C26" i="104"/>
  <c r="C25" i="104"/>
  <c r="C24" i="104"/>
  <c r="C23" i="104"/>
  <c r="C22" i="104"/>
  <c r="C20" i="104"/>
  <c r="C19" i="104"/>
  <c r="C18" i="104"/>
  <c r="C17" i="104"/>
  <c r="C16" i="104"/>
  <c r="C15" i="104"/>
  <c r="C14" i="104"/>
  <c r="C13" i="104"/>
  <c r="C12" i="104"/>
  <c r="C11" i="104"/>
  <c r="C10" i="104"/>
  <c r="C9" i="104"/>
  <c r="C8" i="104"/>
  <c r="C42" i="104" s="1"/>
  <c r="C7" i="104"/>
  <c r="C81" i="103"/>
  <c r="C77" i="103"/>
  <c r="C76" i="103"/>
  <c r="C75" i="103"/>
  <c r="C73" i="103"/>
  <c r="C72" i="103"/>
  <c r="C70" i="103"/>
  <c r="C67" i="103"/>
  <c r="C66" i="103"/>
  <c r="C62" i="103"/>
  <c r="C61" i="103"/>
  <c r="C56" i="103"/>
  <c r="C53" i="103"/>
  <c r="C52" i="103"/>
  <c r="C51" i="103"/>
  <c r="C50" i="103"/>
  <c r="C48" i="103"/>
  <c r="C47" i="103"/>
  <c r="C46" i="103"/>
  <c r="T42" i="103"/>
  <c r="S42" i="103"/>
  <c r="R42" i="103"/>
  <c r="Q42" i="103"/>
  <c r="P42" i="103"/>
  <c r="O42" i="103"/>
  <c r="N42" i="103"/>
  <c r="M42" i="103"/>
  <c r="L42" i="103"/>
  <c r="K42" i="103"/>
  <c r="J42" i="103"/>
  <c r="I42" i="103"/>
  <c r="H42" i="103"/>
  <c r="G42" i="103"/>
  <c r="F42" i="103"/>
  <c r="E42" i="103"/>
  <c r="D42" i="103"/>
  <c r="B42" i="103"/>
  <c r="C41" i="103"/>
  <c r="C40" i="103"/>
  <c r="C39" i="103"/>
  <c r="C37" i="103"/>
  <c r="C36" i="103"/>
  <c r="C35" i="103"/>
  <c r="C34" i="103"/>
  <c r="C33" i="103"/>
  <c r="C31" i="103"/>
  <c r="C30" i="103"/>
  <c r="C29" i="103"/>
  <c r="C28" i="103"/>
  <c r="C27" i="103"/>
  <c r="C26" i="103"/>
  <c r="C25" i="103"/>
  <c r="C24" i="103"/>
  <c r="C23" i="103"/>
  <c r="C22" i="103"/>
  <c r="C20" i="103"/>
  <c r="C19" i="103"/>
  <c r="C18" i="103"/>
  <c r="C17" i="103"/>
  <c r="C16" i="103"/>
  <c r="C15" i="103"/>
  <c r="C14" i="103"/>
  <c r="C13" i="103"/>
  <c r="C12" i="103"/>
  <c r="C11" i="103"/>
  <c r="C10" i="103"/>
  <c r="C9" i="103"/>
  <c r="C8" i="103"/>
  <c r="C42" i="103" s="1"/>
  <c r="C7" i="103"/>
  <c r="C81" i="102"/>
  <c r="C77" i="102"/>
  <c r="C76" i="102"/>
  <c r="C75" i="102"/>
  <c r="C73" i="102"/>
  <c r="C72" i="102"/>
  <c r="C70" i="102"/>
  <c r="C67" i="102"/>
  <c r="C66" i="102"/>
  <c r="C62" i="102"/>
  <c r="C61" i="102"/>
  <c r="C56" i="102"/>
  <c r="C53" i="102"/>
  <c r="C52" i="102"/>
  <c r="C51" i="102"/>
  <c r="C50" i="102"/>
  <c r="C48" i="102"/>
  <c r="C47" i="102"/>
  <c r="C46" i="102"/>
  <c r="R42" i="102"/>
  <c r="Q42" i="102"/>
  <c r="P42" i="102"/>
  <c r="O42" i="102"/>
  <c r="N42" i="102"/>
  <c r="M42" i="102"/>
  <c r="L42" i="102"/>
  <c r="K42" i="102"/>
  <c r="J42" i="102"/>
  <c r="I42" i="102"/>
  <c r="H42" i="102"/>
  <c r="G42" i="102"/>
  <c r="F42" i="102"/>
  <c r="E42" i="102"/>
  <c r="D42" i="102"/>
  <c r="B42" i="102"/>
  <c r="C41" i="102"/>
  <c r="C40" i="102"/>
  <c r="C39" i="102"/>
  <c r="C37" i="102"/>
  <c r="C36" i="102"/>
  <c r="C35" i="102"/>
  <c r="C34" i="102"/>
  <c r="C33" i="102"/>
  <c r="C31" i="102"/>
  <c r="C30" i="102"/>
  <c r="C29" i="102"/>
  <c r="C28" i="102"/>
  <c r="C27" i="102"/>
  <c r="C26" i="102"/>
  <c r="C25" i="102"/>
  <c r="C24" i="102"/>
  <c r="C23" i="102"/>
  <c r="C22" i="102"/>
  <c r="C20" i="102"/>
  <c r="C19" i="102"/>
  <c r="C18" i="102"/>
  <c r="C17" i="102"/>
  <c r="C16" i="102"/>
  <c r="C15" i="102"/>
  <c r="C14" i="102"/>
  <c r="C13" i="102"/>
  <c r="C12" i="102"/>
  <c r="C11" i="102"/>
  <c r="C10" i="102"/>
  <c r="C9" i="102"/>
  <c r="C8" i="102"/>
  <c r="C42" i="102" s="1"/>
  <c r="C7" i="102"/>
  <c r="C81" i="101"/>
  <c r="C77" i="101"/>
  <c r="C76" i="101"/>
  <c r="C75" i="101"/>
  <c r="C73" i="101"/>
  <c r="C72" i="101"/>
  <c r="C70" i="101"/>
  <c r="C67" i="101"/>
  <c r="C66" i="101"/>
  <c r="C62" i="101"/>
  <c r="C61" i="101"/>
  <c r="C56" i="101"/>
  <c r="C53" i="101"/>
  <c r="C52" i="101"/>
  <c r="C51" i="101"/>
  <c r="C50" i="101"/>
  <c r="C48" i="101"/>
  <c r="C47" i="101"/>
  <c r="C46" i="101"/>
  <c r="T42" i="101"/>
  <c r="S42" i="101"/>
  <c r="R42" i="101"/>
  <c r="Q42" i="101"/>
  <c r="P42" i="101"/>
  <c r="O42" i="101"/>
  <c r="N42" i="101"/>
  <c r="M42" i="101"/>
  <c r="L42" i="101"/>
  <c r="K42" i="101"/>
  <c r="J42" i="101"/>
  <c r="I42" i="101"/>
  <c r="H42" i="101"/>
  <c r="G42" i="101"/>
  <c r="F42" i="101"/>
  <c r="E42" i="101"/>
  <c r="D42" i="101"/>
  <c r="B42" i="101"/>
  <c r="C41" i="101"/>
  <c r="C40" i="101"/>
  <c r="C39" i="101"/>
  <c r="C37" i="101"/>
  <c r="C36" i="101"/>
  <c r="C35" i="101"/>
  <c r="C34" i="101"/>
  <c r="C33" i="101"/>
  <c r="C31" i="101"/>
  <c r="C30" i="101"/>
  <c r="C29" i="101"/>
  <c r="C28" i="101"/>
  <c r="C27" i="101"/>
  <c r="C26" i="101"/>
  <c r="C25" i="101"/>
  <c r="C24" i="101"/>
  <c r="C23" i="101"/>
  <c r="C22" i="101"/>
  <c r="C20" i="101"/>
  <c r="C19" i="101"/>
  <c r="C18" i="101"/>
  <c r="C17" i="101"/>
  <c r="C16" i="101"/>
  <c r="C15" i="101"/>
  <c r="C14" i="101"/>
  <c r="C13" i="101"/>
  <c r="C12" i="101"/>
  <c r="C11" i="101"/>
  <c r="C10" i="101"/>
  <c r="C9" i="101"/>
  <c r="C8" i="101"/>
  <c r="C42" i="101" s="1"/>
  <c r="C7" i="101"/>
  <c r="C81" i="100"/>
  <c r="C77" i="100"/>
  <c r="C76" i="100"/>
  <c r="C75" i="100"/>
  <c r="C73" i="100"/>
  <c r="C72" i="100"/>
  <c r="C70" i="100"/>
  <c r="C67" i="100"/>
  <c r="C66" i="100"/>
  <c r="C62" i="100"/>
  <c r="C61" i="100"/>
  <c r="C56" i="100"/>
  <c r="C53" i="100"/>
  <c r="C52" i="100"/>
  <c r="C51" i="100"/>
  <c r="C50" i="100"/>
  <c r="C48" i="100"/>
  <c r="C47" i="100"/>
  <c r="C46" i="100"/>
  <c r="V42" i="100"/>
  <c r="U42" i="100"/>
  <c r="T42" i="100"/>
  <c r="S42" i="100"/>
  <c r="R42" i="100"/>
  <c r="Q42" i="100"/>
  <c r="P42" i="100"/>
  <c r="O42" i="100"/>
  <c r="N42" i="100"/>
  <c r="M42" i="100"/>
  <c r="L42" i="100"/>
  <c r="K42" i="100"/>
  <c r="J42" i="100"/>
  <c r="I42" i="100"/>
  <c r="H42" i="100"/>
  <c r="G42" i="100"/>
  <c r="F42" i="100"/>
  <c r="E42" i="100"/>
  <c r="D42" i="100"/>
  <c r="B42" i="100"/>
  <c r="C41" i="100"/>
  <c r="C40" i="100"/>
  <c r="C39" i="100"/>
  <c r="C37" i="100"/>
  <c r="C36" i="100"/>
  <c r="C35" i="100"/>
  <c r="C34" i="100"/>
  <c r="C33" i="100"/>
  <c r="C31" i="100"/>
  <c r="C30" i="100"/>
  <c r="C29" i="100"/>
  <c r="C28" i="100"/>
  <c r="C27" i="100"/>
  <c r="C26" i="100"/>
  <c r="C25" i="100"/>
  <c r="C24" i="100"/>
  <c r="C23" i="100"/>
  <c r="C22" i="100"/>
  <c r="C20" i="100"/>
  <c r="C19" i="100"/>
  <c r="C18" i="100"/>
  <c r="C17" i="100"/>
  <c r="C16" i="100"/>
  <c r="C15" i="100"/>
  <c r="C14" i="100"/>
  <c r="C13" i="100"/>
  <c r="C12" i="100"/>
  <c r="C11" i="100"/>
  <c r="C10" i="100"/>
  <c r="C9" i="100"/>
  <c r="C8" i="100"/>
  <c r="C7" i="100"/>
  <c r="C42" i="100" s="1"/>
  <c r="C81" i="99"/>
  <c r="C77" i="99"/>
  <c r="C76" i="99"/>
  <c r="C75" i="99"/>
  <c r="C73" i="99"/>
  <c r="C72" i="99"/>
  <c r="C70" i="99"/>
  <c r="C67" i="99"/>
  <c r="C66" i="99"/>
  <c r="C62" i="99"/>
  <c r="C61" i="99"/>
  <c r="C56" i="99"/>
  <c r="C53" i="99"/>
  <c r="C52" i="99"/>
  <c r="C51" i="99"/>
  <c r="C50" i="99"/>
  <c r="C48" i="99"/>
  <c r="C47" i="99"/>
  <c r="C46" i="99"/>
  <c r="T42" i="99"/>
  <c r="S42" i="99"/>
  <c r="R42" i="99"/>
  <c r="Q42" i="99"/>
  <c r="P42" i="99"/>
  <c r="O42" i="99"/>
  <c r="N42" i="99"/>
  <c r="M42" i="99"/>
  <c r="L42" i="99"/>
  <c r="K42" i="99"/>
  <c r="J42" i="99"/>
  <c r="I42" i="99"/>
  <c r="H42" i="99"/>
  <c r="G42" i="99"/>
  <c r="F42" i="99"/>
  <c r="E42" i="99"/>
  <c r="D42" i="99"/>
  <c r="B42" i="99"/>
  <c r="C41" i="99"/>
  <c r="C40" i="99"/>
  <c r="C39" i="99"/>
  <c r="C37" i="99"/>
  <c r="C36" i="99"/>
  <c r="C35" i="99"/>
  <c r="C34" i="99"/>
  <c r="C33" i="99"/>
  <c r="C31" i="99"/>
  <c r="C30" i="99"/>
  <c r="C29" i="99"/>
  <c r="C28" i="99"/>
  <c r="C27" i="99"/>
  <c r="C26" i="99"/>
  <c r="C25" i="99"/>
  <c r="C24" i="99"/>
  <c r="C23" i="99"/>
  <c r="C22" i="99"/>
  <c r="C20" i="99"/>
  <c r="C19" i="99"/>
  <c r="C18" i="99"/>
  <c r="C17" i="99"/>
  <c r="C16" i="99"/>
  <c r="C15" i="99"/>
  <c r="C14" i="99"/>
  <c r="C13" i="99"/>
  <c r="C12" i="99"/>
  <c r="C11" i="99"/>
  <c r="C10" i="99"/>
  <c r="C9" i="99"/>
  <c r="C8" i="99"/>
  <c r="C7" i="99"/>
  <c r="C42" i="99" s="1"/>
  <c r="C81" i="98"/>
  <c r="C77" i="98"/>
  <c r="C76" i="98"/>
  <c r="C75" i="98"/>
  <c r="C73" i="98"/>
  <c r="C72" i="98"/>
  <c r="C70" i="98"/>
  <c r="C67" i="98"/>
  <c r="C66" i="98"/>
  <c r="C62" i="98"/>
  <c r="C61" i="98"/>
  <c r="C56" i="98"/>
  <c r="C53" i="98"/>
  <c r="C52" i="98"/>
  <c r="C51" i="98"/>
  <c r="C50" i="98"/>
  <c r="C48" i="98"/>
  <c r="C47" i="98"/>
  <c r="C46" i="98"/>
  <c r="T42" i="98"/>
  <c r="S42" i="98"/>
  <c r="R42" i="98"/>
  <c r="Q42" i="98"/>
  <c r="P42" i="98"/>
  <c r="O42" i="98"/>
  <c r="N42" i="98"/>
  <c r="M42" i="98"/>
  <c r="L42" i="98"/>
  <c r="K42" i="98"/>
  <c r="J42" i="98"/>
  <c r="I42" i="98"/>
  <c r="H42" i="98"/>
  <c r="G42" i="98"/>
  <c r="F42" i="98"/>
  <c r="E42" i="98"/>
  <c r="D42" i="98"/>
  <c r="B42" i="98"/>
  <c r="C41" i="98"/>
  <c r="C40" i="98"/>
  <c r="C39" i="98"/>
  <c r="C37" i="98"/>
  <c r="C36" i="98"/>
  <c r="C35" i="98"/>
  <c r="C34" i="98"/>
  <c r="C33" i="98"/>
  <c r="C31" i="98"/>
  <c r="C30" i="98"/>
  <c r="C29" i="98"/>
  <c r="C28" i="98"/>
  <c r="C27" i="98"/>
  <c r="C26" i="98"/>
  <c r="C25" i="98"/>
  <c r="C24" i="98"/>
  <c r="C23" i="98"/>
  <c r="C22" i="98"/>
  <c r="C20" i="98"/>
  <c r="C19" i="98"/>
  <c r="C18" i="98"/>
  <c r="C17" i="98"/>
  <c r="C16" i="98"/>
  <c r="C15" i="98"/>
  <c r="C14" i="98"/>
  <c r="C13" i="98"/>
  <c r="C12" i="98"/>
  <c r="C11" i="98"/>
  <c r="C10" i="98"/>
  <c r="C9" i="98"/>
  <c r="C8" i="98"/>
  <c r="C42" i="98" s="1"/>
  <c r="C7" i="98"/>
  <c r="C81" i="97"/>
  <c r="C77" i="97"/>
  <c r="C76" i="97"/>
  <c r="C75" i="97"/>
  <c r="C73" i="97"/>
  <c r="C72" i="97"/>
  <c r="C70" i="97"/>
  <c r="C67" i="97"/>
  <c r="C66" i="97"/>
  <c r="C62" i="97"/>
  <c r="C61" i="97"/>
  <c r="C56" i="97"/>
  <c r="C53" i="97"/>
  <c r="C52" i="97"/>
  <c r="C51" i="97"/>
  <c r="C50" i="97"/>
  <c r="C48" i="97"/>
  <c r="C47" i="97"/>
  <c r="C46" i="97"/>
  <c r="T42" i="97"/>
  <c r="S42" i="97"/>
  <c r="R42" i="97"/>
  <c r="Q42" i="97"/>
  <c r="P42" i="97"/>
  <c r="O42" i="97"/>
  <c r="N42" i="97"/>
  <c r="M42" i="97"/>
  <c r="L42" i="97"/>
  <c r="K42" i="97"/>
  <c r="J42" i="97"/>
  <c r="I42" i="97"/>
  <c r="H42" i="97"/>
  <c r="G42" i="97"/>
  <c r="F42" i="97"/>
  <c r="E42" i="97"/>
  <c r="D42" i="97"/>
  <c r="B42" i="97"/>
  <c r="C41" i="97"/>
  <c r="C40" i="97"/>
  <c r="C39" i="97"/>
  <c r="C37" i="97"/>
  <c r="C36" i="97"/>
  <c r="C35" i="97"/>
  <c r="C34" i="97"/>
  <c r="C33" i="97"/>
  <c r="C31" i="97"/>
  <c r="C30" i="97"/>
  <c r="C29" i="97"/>
  <c r="C28" i="97"/>
  <c r="C27" i="97"/>
  <c r="C26" i="97"/>
  <c r="C25" i="97"/>
  <c r="C24" i="97"/>
  <c r="C23" i="97"/>
  <c r="C22" i="97"/>
  <c r="C20" i="97"/>
  <c r="C19" i="97"/>
  <c r="C18" i="97"/>
  <c r="C17" i="97"/>
  <c r="C16" i="97"/>
  <c r="C15" i="97"/>
  <c r="C14" i="97"/>
  <c r="C13" i="97"/>
  <c r="C12" i="97"/>
  <c r="C11" i="97"/>
  <c r="C10" i="97"/>
  <c r="C9" i="97"/>
  <c r="C8" i="97"/>
  <c r="C7" i="97"/>
  <c r="C42" i="97" s="1"/>
  <c r="C81" i="96"/>
  <c r="C77" i="96"/>
  <c r="C76" i="96"/>
  <c r="C75" i="96"/>
  <c r="C73" i="96"/>
  <c r="C72" i="96"/>
  <c r="C70" i="96"/>
  <c r="C67" i="96"/>
  <c r="C66" i="96"/>
  <c r="C62" i="96"/>
  <c r="C61" i="96"/>
  <c r="C56" i="96"/>
  <c r="C53" i="96"/>
  <c r="C52" i="96"/>
  <c r="C51" i="96"/>
  <c r="C50" i="96"/>
  <c r="C48" i="96"/>
  <c r="C47" i="96"/>
  <c r="C46" i="96"/>
  <c r="T42" i="96"/>
  <c r="S42" i="96"/>
  <c r="R42" i="96"/>
  <c r="Q42" i="96"/>
  <c r="P42" i="96"/>
  <c r="O42" i="96"/>
  <c r="N42" i="96"/>
  <c r="M42" i="96"/>
  <c r="L42" i="96"/>
  <c r="K42" i="96"/>
  <c r="J42" i="96"/>
  <c r="I42" i="96"/>
  <c r="H42" i="96"/>
  <c r="G42" i="96"/>
  <c r="F42" i="96"/>
  <c r="E42" i="96"/>
  <c r="D42" i="96"/>
  <c r="B42" i="96"/>
  <c r="C41" i="96"/>
  <c r="C40" i="96"/>
  <c r="C39" i="96"/>
  <c r="C37" i="96"/>
  <c r="C36" i="96"/>
  <c r="C35" i="96"/>
  <c r="C34" i="96"/>
  <c r="C33" i="96"/>
  <c r="C31" i="96"/>
  <c r="C30" i="96"/>
  <c r="C29" i="96"/>
  <c r="C28" i="96"/>
  <c r="C27" i="96"/>
  <c r="C26" i="96"/>
  <c r="C25" i="96"/>
  <c r="C24" i="96"/>
  <c r="C23" i="96"/>
  <c r="C22" i="96"/>
  <c r="C20" i="96"/>
  <c r="C19" i="96"/>
  <c r="C18" i="96"/>
  <c r="C17" i="96"/>
  <c r="C16" i="96"/>
  <c r="C15" i="96"/>
  <c r="C14" i="96"/>
  <c r="C13" i="96"/>
  <c r="C12" i="96"/>
  <c r="C11" i="96"/>
  <c r="C10" i="96"/>
  <c r="C9" i="96"/>
  <c r="C8" i="96"/>
  <c r="C42" i="96" s="1"/>
  <c r="C7" i="96"/>
  <c r="C81" i="95"/>
  <c r="C77" i="95"/>
  <c r="C76" i="95"/>
  <c r="C75" i="95"/>
  <c r="C73" i="95"/>
  <c r="C72" i="95"/>
  <c r="C70" i="95"/>
  <c r="C67" i="95"/>
  <c r="C66" i="95"/>
  <c r="C62" i="95"/>
  <c r="C61" i="95"/>
  <c r="C56" i="95"/>
  <c r="C53" i="95"/>
  <c r="C52" i="95"/>
  <c r="C51" i="95"/>
  <c r="C50" i="95"/>
  <c r="C48" i="95"/>
  <c r="C47" i="95"/>
  <c r="C46" i="95"/>
  <c r="R42" i="95"/>
  <c r="Q42" i="95"/>
  <c r="P42" i="95"/>
  <c r="O42" i="95"/>
  <c r="N42" i="95"/>
  <c r="M42" i="95"/>
  <c r="L42" i="95"/>
  <c r="K42" i="95"/>
  <c r="J42" i="95"/>
  <c r="I42" i="95"/>
  <c r="H42" i="95"/>
  <c r="G42" i="95"/>
  <c r="F42" i="95"/>
  <c r="E42" i="95"/>
  <c r="D42" i="95"/>
  <c r="B42" i="95"/>
  <c r="C41" i="95"/>
  <c r="C40" i="95"/>
  <c r="C39" i="95"/>
  <c r="C37" i="95"/>
  <c r="C36" i="95"/>
  <c r="C35" i="95"/>
  <c r="C34" i="95"/>
  <c r="C33" i="95"/>
  <c r="C31" i="95"/>
  <c r="C30" i="95"/>
  <c r="C29" i="95"/>
  <c r="C28" i="95"/>
  <c r="C27" i="95"/>
  <c r="C26" i="95"/>
  <c r="C25" i="95"/>
  <c r="C24" i="95"/>
  <c r="C23" i="95"/>
  <c r="C22" i="95"/>
  <c r="C20" i="95"/>
  <c r="C19" i="95"/>
  <c r="C18" i="95"/>
  <c r="C17" i="95"/>
  <c r="C16" i="95"/>
  <c r="C15" i="95"/>
  <c r="C14" i="95"/>
  <c r="C13" i="95"/>
  <c r="C12" i="95"/>
  <c r="C11" i="95"/>
  <c r="C10" i="95"/>
  <c r="C9" i="95"/>
  <c r="C8" i="95"/>
  <c r="C42" i="95" s="1"/>
  <c r="C7" i="95"/>
  <c r="C81" i="94"/>
  <c r="C77" i="94"/>
  <c r="C76" i="94"/>
  <c r="C75" i="94"/>
  <c r="C73" i="94"/>
  <c r="C72" i="94"/>
  <c r="C70" i="94"/>
  <c r="C67" i="94"/>
  <c r="C66" i="94"/>
  <c r="C62" i="94"/>
  <c r="C61" i="94"/>
  <c r="C56" i="94"/>
  <c r="C53" i="94"/>
  <c r="C52" i="94"/>
  <c r="C51" i="94"/>
  <c r="C50" i="94"/>
  <c r="C48" i="94"/>
  <c r="C47" i="94"/>
  <c r="C46" i="94"/>
  <c r="T42" i="94"/>
  <c r="S42" i="94"/>
  <c r="R42" i="94"/>
  <c r="Q42" i="94"/>
  <c r="P42" i="94"/>
  <c r="O42" i="94"/>
  <c r="N42" i="94"/>
  <c r="M42" i="94"/>
  <c r="L42" i="94"/>
  <c r="K42" i="94"/>
  <c r="J42" i="94"/>
  <c r="I42" i="94"/>
  <c r="H42" i="94"/>
  <c r="G42" i="94"/>
  <c r="F42" i="94"/>
  <c r="E42" i="94"/>
  <c r="D42" i="94"/>
  <c r="B42" i="94"/>
  <c r="C41" i="94"/>
  <c r="C40" i="94"/>
  <c r="C39" i="94"/>
  <c r="C37" i="94"/>
  <c r="C36" i="94"/>
  <c r="C35" i="94"/>
  <c r="C34" i="94"/>
  <c r="C33" i="94"/>
  <c r="C31" i="94"/>
  <c r="C30" i="94"/>
  <c r="C29" i="94"/>
  <c r="C28" i="94"/>
  <c r="C27" i="94"/>
  <c r="C26" i="94"/>
  <c r="C25" i="94"/>
  <c r="C24" i="94"/>
  <c r="C23" i="94"/>
  <c r="C22" i="94"/>
  <c r="C20" i="94"/>
  <c r="C19" i="94"/>
  <c r="C18" i="94"/>
  <c r="C17" i="94"/>
  <c r="C16" i="94"/>
  <c r="C15" i="94"/>
  <c r="C14" i="94"/>
  <c r="C13" i="94"/>
  <c r="C12" i="94"/>
  <c r="C11" i="94"/>
  <c r="C10" i="94"/>
  <c r="C9" i="94"/>
  <c r="C8" i="94"/>
  <c r="C7" i="94"/>
  <c r="C42" i="94" s="1"/>
  <c r="C81" i="93"/>
  <c r="C77" i="93"/>
  <c r="C76" i="93"/>
  <c r="C75" i="93"/>
  <c r="C73" i="93"/>
  <c r="C72" i="93"/>
  <c r="C70" i="93"/>
  <c r="C67" i="93"/>
  <c r="C66" i="93"/>
  <c r="C62" i="93"/>
  <c r="C61" i="93"/>
  <c r="C56" i="93"/>
  <c r="C53" i="93"/>
  <c r="C52" i="93"/>
  <c r="C51" i="93"/>
  <c r="C50" i="93"/>
  <c r="C48" i="93"/>
  <c r="C47" i="93"/>
  <c r="C46" i="93"/>
  <c r="R42" i="93"/>
  <c r="Q42" i="93"/>
  <c r="P42" i="93"/>
  <c r="O42" i="93"/>
  <c r="N42" i="93"/>
  <c r="M42" i="93"/>
  <c r="L42" i="93"/>
  <c r="K42" i="93"/>
  <c r="J42" i="93"/>
  <c r="I42" i="93"/>
  <c r="H42" i="93"/>
  <c r="G42" i="93"/>
  <c r="F42" i="93"/>
  <c r="E42" i="93"/>
  <c r="D42" i="93"/>
  <c r="B42" i="93"/>
  <c r="C41" i="93"/>
  <c r="C40" i="93"/>
  <c r="C39" i="93"/>
  <c r="C37" i="93"/>
  <c r="C36" i="93"/>
  <c r="C35" i="93"/>
  <c r="C34" i="93"/>
  <c r="C33" i="93"/>
  <c r="C31" i="93"/>
  <c r="C30" i="93"/>
  <c r="C29" i="93"/>
  <c r="C28" i="93"/>
  <c r="C27" i="93"/>
  <c r="C26" i="93"/>
  <c r="C25" i="93"/>
  <c r="C24" i="93"/>
  <c r="C23" i="93"/>
  <c r="C22" i="93"/>
  <c r="C20" i="93"/>
  <c r="C19" i="93"/>
  <c r="C18" i="93"/>
  <c r="C17" i="93"/>
  <c r="C16" i="93"/>
  <c r="C15" i="93"/>
  <c r="C14" i="93"/>
  <c r="C13" i="93"/>
  <c r="C12" i="93"/>
  <c r="C11" i="93"/>
  <c r="C10" i="93"/>
  <c r="C9" i="93"/>
  <c r="C8" i="93"/>
  <c r="C7" i="93"/>
  <c r="C42" i="93" s="1"/>
  <c r="C81" i="92"/>
  <c r="C77" i="92"/>
  <c r="C76" i="92"/>
  <c r="C75" i="92"/>
  <c r="C73" i="92"/>
  <c r="C72" i="92"/>
  <c r="C70" i="92"/>
  <c r="C67" i="92"/>
  <c r="C66" i="92"/>
  <c r="C62" i="92"/>
  <c r="C61" i="92"/>
  <c r="C56" i="92"/>
  <c r="C53" i="92"/>
  <c r="C52" i="92"/>
  <c r="C51" i="92"/>
  <c r="C50" i="92"/>
  <c r="C48" i="92"/>
  <c r="C47" i="92"/>
  <c r="C46" i="92"/>
  <c r="R42" i="92"/>
  <c r="Q42" i="92"/>
  <c r="P42" i="92"/>
  <c r="O42" i="92"/>
  <c r="N42" i="92"/>
  <c r="M42" i="92"/>
  <c r="L42" i="92"/>
  <c r="K42" i="92"/>
  <c r="J42" i="92"/>
  <c r="I42" i="92"/>
  <c r="H42" i="92"/>
  <c r="G42" i="92"/>
  <c r="F42" i="92"/>
  <c r="E42" i="92"/>
  <c r="D42" i="92"/>
  <c r="B42" i="92"/>
  <c r="C41" i="92"/>
  <c r="C40" i="92"/>
  <c r="C39" i="92"/>
  <c r="C37" i="92"/>
  <c r="C36" i="92"/>
  <c r="C35" i="92"/>
  <c r="C34" i="92"/>
  <c r="C33" i="92"/>
  <c r="C31" i="92"/>
  <c r="C30" i="92"/>
  <c r="C29" i="92"/>
  <c r="C28" i="92"/>
  <c r="C27" i="92"/>
  <c r="C26" i="92"/>
  <c r="C25" i="92"/>
  <c r="C24" i="92"/>
  <c r="C23" i="92"/>
  <c r="C22" i="92"/>
  <c r="C20" i="92"/>
  <c r="C19" i="92"/>
  <c r="C18" i="92"/>
  <c r="C17" i="92"/>
  <c r="C16" i="92"/>
  <c r="C15" i="92"/>
  <c r="C14" i="92"/>
  <c r="C13" i="92"/>
  <c r="C12" i="92"/>
  <c r="C11" i="92"/>
  <c r="C10" i="92"/>
  <c r="C9" i="92"/>
  <c r="C8" i="92"/>
  <c r="C7" i="92"/>
  <c r="C42" i="92" s="1"/>
  <c r="C81" i="91"/>
  <c r="C77" i="91"/>
  <c r="C76" i="91"/>
  <c r="C75" i="91"/>
  <c r="C73" i="91"/>
  <c r="C72" i="91"/>
  <c r="C70" i="91"/>
  <c r="C67" i="91"/>
  <c r="C66" i="91"/>
  <c r="C62" i="91"/>
  <c r="C61" i="91"/>
  <c r="C56" i="91"/>
  <c r="C53" i="91"/>
  <c r="C52" i="91"/>
  <c r="C51" i="91"/>
  <c r="C50" i="91"/>
  <c r="C48" i="91"/>
  <c r="C47" i="91"/>
  <c r="C46" i="91"/>
  <c r="R42" i="91"/>
  <c r="Q42" i="91"/>
  <c r="P42" i="91"/>
  <c r="O42" i="91"/>
  <c r="N42" i="91"/>
  <c r="M42" i="91"/>
  <c r="L42" i="91"/>
  <c r="K42" i="91"/>
  <c r="J42" i="91"/>
  <c r="I42" i="91"/>
  <c r="H42" i="91"/>
  <c r="G42" i="91"/>
  <c r="F42" i="91"/>
  <c r="E42" i="91"/>
  <c r="D42" i="91"/>
  <c r="B42" i="91"/>
  <c r="C41" i="91"/>
  <c r="C40" i="91"/>
  <c r="C39" i="91"/>
  <c r="C37" i="91"/>
  <c r="C36" i="91"/>
  <c r="C35" i="91"/>
  <c r="C34" i="91"/>
  <c r="C33" i="91"/>
  <c r="C31" i="91"/>
  <c r="C30" i="91"/>
  <c r="C29" i="91"/>
  <c r="C28" i="91"/>
  <c r="C27" i="91"/>
  <c r="C26" i="91"/>
  <c r="C25" i="91"/>
  <c r="C24" i="91"/>
  <c r="C23" i="91"/>
  <c r="C22" i="91"/>
  <c r="C20" i="91"/>
  <c r="C19" i="91"/>
  <c r="C18" i="91"/>
  <c r="C17" i="91"/>
  <c r="C16" i="91"/>
  <c r="C15" i="91"/>
  <c r="C14" i="91"/>
  <c r="C13" i="91"/>
  <c r="C12" i="91"/>
  <c r="C11" i="91"/>
  <c r="C10" i="91"/>
  <c r="C9" i="91"/>
  <c r="C8" i="91"/>
  <c r="C7" i="91"/>
  <c r="C42" i="91" s="1"/>
  <c r="C81" i="90"/>
  <c r="C77" i="90"/>
  <c r="C76" i="90"/>
  <c r="C75" i="90"/>
  <c r="C73" i="90"/>
  <c r="C72" i="90"/>
  <c r="C70" i="90"/>
  <c r="C67" i="90"/>
  <c r="C66" i="90"/>
  <c r="C62" i="90"/>
  <c r="C61" i="90"/>
  <c r="C56" i="90"/>
  <c r="C53" i="90"/>
  <c r="C52" i="90"/>
  <c r="C51" i="90"/>
  <c r="C50" i="90"/>
  <c r="C48" i="90"/>
  <c r="C47" i="90"/>
  <c r="C46" i="90"/>
  <c r="R42" i="90"/>
  <c r="Q42" i="90"/>
  <c r="P42" i="90"/>
  <c r="O42" i="90"/>
  <c r="N42" i="90"/>
  <c r="M42" i="90"/>
  <c r="L42" i="90"/>
  <c r="K42" i="90"/>
  <c r="J42" i="90"/>
  <c r="I42" i="90"/>
  <c r="H42" i="90"/>
  <c r="G42" i="90"/>
  <c r="F42" i="90"/>
  <c r="E42" i="90"/>
  <c r="D42" i="90"/>
  <c r="B42" i="90"/>
  <c r="C41" i="90"/>
  <c r="C40" i="90"/>
  <c r="C39" i="90"/>
  <c r="C37" i="90"/>
  <c r="C36" i="90"/>
  <c r="C35" i="90"/>
  <c r="C34" i="90"/>
  <c r="C33" i="90"/>
  <c r="C31" i="90"/>
  <c r="C30" i="90"/>
  <c r="C29" i="90"/>
  <c r="C28" i="90"/>
  <c r="C27" i="90"/>
  <c r="C26" i="90"/>
  <c r="C25" i="90"/>
  <c r="C24" i="90"/>
  <c r="C23" i="90"/>
  <c r="C22" i="90"/>
  <c r="C20" i="90"/>
  <c r="C19" i="90"/>
  <c r="C18" i="90"/>
  <c r="C17" i="90"/>
  <c r="C16" i="90"/>
  <c r="C15" i="90"/>
  <c r="C14" i="90"/>
  <c r="C13" i="90"/>
  <c r="C12" i="90"/>
  <c r="C11" i="90"/>
  <c r="C10" i="90"/>
  <c r="C9" i="90"/>
  <c r="C8" i="90"/>
  <c r="C7" i="90"/>
  <c r="C42" i="90" s="1"/>
  <c r="C81" i="89"/>
  <c r="C77" i="89"/>
  <c r="C76" i="89"/>
  <c r="C75" i="89"/>
  <c r="C73" i="89"/>
  <c r="C72" i="89"/>
  <c r="C70" i="89"/>
  <c r="C67" i="89"/>
  <c r="C66" i="89"/>
  <c r="C62" i="89"/>
  <c r="C61" i="89"/>
  <c r="C56" i="89"/>
  <c r="C53" i="89"/>
  <c r="C52" i="89"/>
  <c r="C51" i="89"/>
  <c r="C50" i="89"/>
  <c r="C48" i="89"/>
  <c r="C47" i="89"/>
  <c r="C46" i="89"/>
  <c r="R42" i="89"/>
  <c r="Q42" i="89"/>
  <c r="P42" i="89"/>
  <c r="O42" i="89"/>
  <c r="N42" i="89"/>
  <c r="M42" i="89"/>
  <c r="L42" i="89"/>
  <c r="K42" i="89"/>
  <c r="J42" i="89"/>
  <c r="I42" i="89"/>
  <c r="H42" i="89"/>
  <c r="G42" i="89"/>
  <c r="F42" i="89"/>
  <c r="E42" i="89"/>
  <c r="D42" i="89"/>
  <c r="B42" i="89"/>
  <c r="C41" i="89"/>
  <c r="C40" i="89"/>
  <c r="C39" i="89"/>
  <c r="C37" i="89"/>
  <c r="C36" i="89"/>
  <c r="C35" i="89"/>
  <c r="C34" i="89"/>
  <c r="C33" i="89"/>
  <c r="C31" i="89"/>
  <c r="C30" i="89"/>
  <c r="C29" i="89"/>
  <c r="C28" i="89"/>
  <c r="C27" i="89"/>
  <c r="C26" i="89"/>
  <c r="C25" i="89"/>
  <c r="C24" i="89"/>
  <c r="C23" i="89"/>
  <c r="C22" i="89"/>
  <c r="C20" i="89"/>
  <c r="C19" i="89"/>
  <c r="C18" i="89"/>
  <c r="C17" i="89"/>
  <c r="C16" i="89"/>
  <c r="C15" i="89"/>
  <c r="C14" i="89"/>
  <c r="C13" i="89"/>
  <c r="C12" i="89"/>
  <c r="C11" i="89"/>
  <c r="C10" i="89"/>
  <c r="C9" i="89"/>
  <c r="C8" i="89"/>
  <c r="C7" i="89"/>
  <c r="C42" i="89" s="1"/>
  <c r="C81" i="88"/>
  <c r="C77" i="88"/>
  <c r="C76" i="88"/>
  <c r="C75" i="88"/>
  <c r="C73" i="88"/>
  <c r="C72" i="88"/>
  <c r="C70" i="88"/>
  <c r="C67" i="88"/>
  <c r="C66" i="88"/>
  <c r="C62" i="88"/>
  <c r="C61" i="88"/>
  <c r="C56" i="88"/>
  <c r="C53" i="88"/>
  <c r="C52" i="88"/>
  <c r="C51" i="88"/>
  <c r="C50" i="88"/>
  <c r="C48" i="88"/>
  <c r="C47" i="88"/>
  <c r="C46" i="88"/>
  <c r="R42" i="88"/>
  <c r="Q42" i="88"/>
  <c r="P42" i="88"/>
  <c r="O42" i="88"/>
  <c r="N42" i="88"/>
  <c r="M42" i="88"/>
  <c r="L42" i="88"/>
  <c r="K42" i="88"/>
  <c r="J42" i="88"/>
  <c r="I42" i="88"/>
  <c r="H42" i="88"/>
  <c r="G42" i="88"/>
  <c r="F42" i="88"/>
  <c r="E42" i="88"/>
  <c r="D42" i="88"/>
  <c r="B42" i="88"/>
  <c r="C41" i="88"/>
  <c r="C40" i="88"/>
  <c r="C39" i="88"/>
  <c r="C37" i="88"/>
  <c r="C36" i="88"/>
  <c r="C35" i="88"/>
  <c r="C34" i="88"/>
  <c r="C33" i="88"/>
  <c r="C31" i="88"/>
  <c r="C30" i="88"/>
  <c r="C29" i="88"/>
  <c r="C28" i="88"/>
  <c r="C27" i="88"/>
  <c r="C26" i="88"/>
  <c r="C25" i="88"/>
  <c r="C24" i="88"/>
  <c r="C23" i="88"/>
  <c r="C22" i="88"/>
  <c r="C20" i="88"/>
  <c r="C19" i="88"/>
  <c r="C18" i="88"/>
  <c r="C17" i="88"/>
  <c r="C16" i="88"/>
  <c r="C15" i="88"/>
  <c r="C14" i="88"/>
  <c r="C13" i="88"/>
  <c r="C12" i="88"/>
  <c r="C11" i="88"/>
  <c r="C10" i="88"/>
  <c r="C9" i="88"/>
  <c r="C8" i="88"/>
  <c r="C7" i="88"/>
  <c r="C42" i="88" s="1"/>
  <c r="C81" i="87"/>
  <c r="C77" i="87"/>
  <c r="C76" i="87"/>
  <c r="C75" i="87"/>
  <c r="C73" i="87"/>
  <c r="C72" i="87"/>
  <c r="C70" i="87"/>
  <c r="C67" i="87"/>
  <c r="C66" i="87"/>
  <c r="C62" i="87"/>
  <c r="C61" i="87"/>
  <c r="C56" i="87"/>
  <c r="C53" i="87"/>
  <c r="C52" i="87"/>
  <c r="C51" i="87"/>
  <c r="C50" i="87"/>
  <c r="C48" i="87"/>
  <c r="C47" i="87"/>
  <c r="C46" i="87"/>
  <c r="R42" i="87"/>
  <c r="Q42" i="87"/>
  <c r="P42" i="87"/>
  <c r="O42" i="87"/>
  <c r="N42" i="87"/>
  <c r="M42" i="87"/>
  <c r="L42" i="87"/>
  <c r="K42" i="87"/>
  <c r="J42" i="87"/>
  <c r="I42" i="87"/>
  <c r="H42" i="87"/>
  <c r="G42" i="87"/>
  <c r="F42" i="87"/>
  <c r="E42" i="87"/>
  <c r="D42" i="87"/>
  <c r="B42" i="87"/>
  <c r="C41" i="87"/>
  <c r="C40" i="87"/>
  <c r="C39" i="87"/>
  <c r="C37" i="87"/>
  <c r="C36" i="87"/>
  <c r="C35" i="87"/>
  <c r="C34" i="87"/>
  <c r="C33" i="87"/>
  <c r="C31" i="87"/>
  <c r="C30" i="87"/>
  <c r="C29" i="87"/>
  <c r="C28" i="87"/>
  <c r="C27" i="87"/>
  <c r="C26" i="87"/>
  <c r="C25" i="87"/>
  <c r="C24" i="87"/>
  <c r="C23" i="87"/>
  <c r="C22" i="87"/>
  <c r="C20" i="87"/>
  <c r="C19" i="87"/>
  <c r="C18" i="87"/>
  <c r="C17" i="87"/>
  <c r="C16" i="87"/>
  <c r="C15" i="87"/>
  <c r="C14" i="87"/>
  <c r="C13" i="87"/>
  <c r="C12" i="87"/>
  <c r="C11" i="87"/>
  <c r="C10" i="87"/>
  <c r="C9" i="87"/>
  <c r="C8" i="87"/>
  <c r="C7" i="87"/>
  <c r="C42" i="87" s="1"/>
  <c r="C81" i="86"/>
  <c r="C77" i="86"/>
  <c r="C76" i="86"/>
  <c r="C75" i="86"/>
  <c r="C73" i="86"/>
  <c r="C72" i="86"/>
  <c r="C70" i="86"/>
  <c r="C67" i="86"/>
  <c r="C66" i="86"/>
  <c r="C62" i="86"/>
  <c r="C61" i="86"/>
  <c r="C56" i="86"/>
  <c r="C53" i="86"/>
  <c r="C52" i="86"/>
  <c r="C51" i="86"/>
  <c r="C50" i="86"/>
  <c r="C48" i="86"/>
  <c r="C47" i="86"/>
  <c r="C46" i="86"/>
  <c r="R42" i="86"/>
  <c r="Q42" i="86"/>
  <c r="P42" i="86"/>
  <c r="O42" i="86"/>
  <c r="N42" i="86"/>
  <c r="M42" i="86"/>
  <c r="L42" i="86"/>
  <c r="K42" i="86"/>
  <c r="J42" i="86"/>
  <c r="I42" i="86"/>
  <c r="H42" i="86"/>
  <c r="G42" i="86"/>
  <c r="F42" i="86"/>
  <c r="E42" i="86"/>
  <c r="D42" i="86"/>
  <c r="B42" i="86"/>
  <c r="C41" i="86"/>
  <c r="C40" i="86"/>
  <c r="C39" i="86"/>
  <c r="C37" i="86"/>
  <c r="C36" i="86"/>
  <c r="C35" i="86"/>
  <c r="C34" i="86"/>
  <c r="C33" i="86"/>
  <c r="C31" i="86"/>
  <c r="C30" i="86"/>
  <c r="C29" i="86"/>
  <c r="C28" i="86"/>
  <c r="C27" i="86"/>
  <c r="C26" i="86"/>
  <c r="C25" i="86"/>
  <c r="C24" i="86"/>
  <c r="C23" i="86"/>
  <c r="C22" i="86"/>
  <c r="C20" i="86"/>
  <c r="C19" i="86"/>
  <c r="C18" i="86"/>
  <c r="C17" i="86"/>
  <c r="C16" i="86"/>
  <c r="C15" i="86"/>
  <c r="C14" i="86"/>
  <c r="C13" i="86"/>
  <c r="C12" i="86"/>
  <c r="C11" i="86"/>
  <c r="C10" i="86"/>
  <c r="C9" i="86"/>
  <c r="C8" i="86"/>
  <c r="C7" i="86"/>
  <c r="C42" i="86" s="1"/>
  <c r="C81" i="85"/>
  <c r="C77" i="85"/>
  <c r="C76" i="85"/>
  <c r="C75" i="85"/>
  <c r="C73" i="85"/>
  <c r="C72" i="85"/>
  <c r="C70" i="85"/>
  <c r="C67" i="85"/>
  <c r="C66" i="85"/>
  <c r="C62" i="85"/>
  <c r="C61" i="85"/>
  <c r="C56" i="85"/>
  <c r="C53" i="85"/>
  <c r="C52" i="85"/>
  <c r="C51" i="85"/>
  <c r="C50" i="85"/>
  <c r="C48" i="85"/>
  <c r="C47" i="85"/>
  <c r="C46" i="85"/>
  <c r="R42" i="85"/>
  <c r="Q42" i="85"/>
  <c r="P42" i="85"/>
  <c r="O42" i="85"/>
  <c r="N42" i="85"/>
  <c r="M42" i="85"/>
  <c r="L42" i="85"/>
  <c r="K42" i="85"/>
  <c r="J42" i="85"/>
  <c r="I42" i="85"/>
  <c r="H42" i="85"/>
  <c r="G42" i="85"/>
  <c r="F42" i="85"/>
  <c r="E42" i="85"/>
  <c r="D42" i="85"/>
  <c r="B42" i="85"/>
  <c r="C41" i="85"/>
  <c r="C40" i="85"/>
  <c r="C39" i="85"/>
  <c r="C37" i="85"/>
  <c r="C36" i="85"/>
  <c r="C35" i="85"/>
  <c r="C34" i="85"/>
  <c r="C33" i="85"/>
  <c r="C31" i="85"/>
  <c r="C30" i="85"/>
  <c r="C29" i="85"/>
  <c r="C28" i="85"/>
  <c r="C27" i="85"/>
  <c r="C26" i="85"/>
  <c r="C25" i="85"/>
  <c r="C24" i="85"/>
  <c r="C23" i="85"/>
  <c r="C22" i="85"/>
  <c r="C20" i="85"/>
  <c r="C19" i="85"/>
  <c r="C18" i="85"/>
  <c r="C17" i="85"/>
  <c r="C16" i="85"/>
  <c r="C15" i="85"/>
  <c r="C14" i="85"/>
  <c r="C13" i="85"/>
  <c r="C12" i="85"/>
  <c r="C11" i="85"/>
  <c r="C10" i="85"/>
  <c r="C9" i="85"/>
  <c r="C8" i="85"/>
  <c r="C7" i="85"/>
  <c r="C42" i="85" s="1"/>
  <c r="C81" i="84"/>
  <c r="C77" i="84"/>
  <c r="C76" i="84"/>
  <c r="C75" i="84"/>
  <c r="C73" i="84"/>
  <c r="C72" i="84"/>
  <c r="C70" i="84"/>
  <c r="C67" i="84"/>
  <c r="C66" i="84"/>
  <c r="C62" i="84"/>
  <c r="C61" i="84"/>
  <c r="C56" i="84"/>
  <c r="C53" i="84"/>
  <c r="C52" i="84"/>
  <c r="C51" i="84"/>
  <c r="C50" i="84"/>
  <c r="C48" i="84"/>
  <c r="C47" i="84"/>
  <c r="C46" i="84"/>
  <c r="R42" i="84"/>
  <c r="Q42" i="84"/>
  <c r="P42" i="84"/>
  <c r="O42" i="84"/>
  <c r="N42" i="84"/>
  <c r="M42" i="84"/>
  <c r="L42" i="84"/>
  <c r="K42" i="84"/>
  <c r="J42" i="84"/>
  <c r="I42" i="84"/>
  <c r="H42" i="84"/>
  <c r="G42" i="84"/>
  <c r="F42" i="84"/>
  <c r="E42" i="84"/>
  <c r="D42" i="84"/>
  <c r="B42" i="84"/>
  <c r="C41" i="84"/>
  <c r="C40" i="84"/>
  <c r="C39" i="84"/>
  <c r="C37" i="84"/>
  <c r="C36" i="84"/>
  <c r="C35" i="84"/>
  <c r="C34" i="84"/>
  <c r="C33" i="84"/>
  <c r="C31" i="84"/>
  <c r="C30" i="84"/>
  <c r="C29" i="84"/>
  <c r="C28" i="84"/>
  <c r="C27" i="84"/>
  <c r="C26" i="84"/>
  <c r="C25" i="84"/>
  <c r="C24" i="84"/>
  <c r="C23" i="84"/>
  <c r="C22" i="84"/>
  <c r="C20" i="84"/>
  <c r="C19" i="84"/>
  <c r="C18" i="84"/>
  <c r="C17" i="84"/>
  <c r="C16" i="84"/>
  <c r="C15" i="84"/>
  <c r="C14" i="84"/>
  <c r="C13" i="84"/>
  <c r="C12" i="84"/>
  <c r="C11" i="84"/>
  <c r="C10" i="84"/>
  <c r="C9" i="84"/>
  <c r="C8" i="84"/>
  <c r="C7" i="84"/>
  <c r="C42" i="84" s="1"/>
  <c r="C81" i="83"/>
  <c r="C77" i="83"/>
  <c r="C76" i="83"/>
  <c r="C75" i="83"/>
  <c r="C73" i="83"/>
  <c r="C72" i="83"/>
  <c r="C70" i="83"/>
  <c r="C67" i="83"/>
  <c r="C66" i="83"/>
  <c r="C62" i="83"/>
  <c r="C61" i="83"/>
  <c r="C56" i="83"/>
  <c r="C53" i="83"/>
  <c r="C52" i="83"/>
  <c r="C51" i="83"/>
  <c r="C50" i="83"/>
  <c r="C48" i="83"/>
  <c r="C47" i="83"/>
  <c r="C46" i="83"/>
  <c r="R42" i="83"/>
  <c r="Q42" i="83"/>
  <c r="P42" i="83"/>
  <c r="O42" i="83"/>
  <c r="N42" i="83"/>
  <c r="M42" i="83"/>
  <c r="L42" i="83"/>
  <c r="K42" i="83"/>
  <c r="J42" i="83"/>
  <c r="I42" i="83"/>
  <c r="H42" i="83"/>
  <c r="G42" i="83"/>
  <c r="F42" i="83"/>
  <c r="E42" i="83"/>
  <c r="D42" i="83"/>
  <c r="B42" i="83"/>
  <c r="C41" i="83"/>
  <c r="C40" i="83"/>
  <c r="C39" i="83"/>
  <c r="C37" i="83"/>
  <c r="C36" i="83"/>
  <c r="C35" i="83"/>
  <c r="C34" i="83"/>
  <c r="C33" i="83"/>
  <c r="C31" i="83"/>
  <c r="C30" i="83"/>
  <c r="C29" i="83"/>
  <c r="C28" i="83"/>
  <c r="C27" i="83"/>
  <c r="C26" i="83"/>
  <c r="C25" i="83"/>
  <c r="C24" i="83"/>
  <c r="C23" i="83"/>
  <c r="C22" i="83"/>
  <c r="C20" i="83"/>
  <c r="C19" i="83"/>
  <c r="C18" i="83"/>
  <c r="C17" i="83"/>
  <c r="C16" i="83"/>
  <c r="C15" i="83"/>
  <c r="C14" i="83"/>
  <c r="C13" i="83"/>
  <c r="C12" i="83"/>
  <c r="C11" i="83"/>
  <c r="C10" i="83"/>
  <c r="C9" i="83"/>
  <c r="C8" i="83"/>
  <c r="C7" i="83"/>
  <c r="C42" i="83" s="1"/>
  <c r="C81" i="82"/>
  <c r="C77" i="82"/>
  <c r="C76" i="82"/>
  <c r="C75" i="82"/>
  <c r="C73" i="82"/>
  <c r="C72" i="82"/>
  <c r="C70" i="82"/>
  <c r="C67" i="82"/>
  <c r="C66" i="82"/>
  <c r="C62" i="82"/>
  <c r="C61" i="82"/>
  <c r="C56" i="82"/>
  <c r="C53" i="82"/>
  <c r="C52" i="82"/>
  <c r="C51" i="82"/>
  <c r="C50" i="82"/>
  <c r="C48" i="82"/>
  <c r="C47" i="82"/>
  <c r="C46" i="82"/>
  <c r="R42" i="82"/>
  <c r="Q42" i="82"/>
  <c r="P42" i="82"/>
  <c r="O42" i="82"/>
  <c r="N42" i="82"/>
  <c r="M42" i="82"/>
  <c r="L42" i="82"/>
  <c r="K42" i="82"/>
  <c r="J42" i="82"/>
  <c r="I42" i="82"/>
  <c r="H42" i="82"/>
  <c r="G42" i="82"/>
  <c r="F42" i="82"/>
  <c r="E42" i="82"/>
  <c r="D42" i="82"/>
  <c r="B42" i="82"/>
  <c r="C41" i="82"/>
  <c r="C40" i="82"/>
  <c r="C39" i="82"/>
  <c r="C37" i="82"/>
  <c r="C36" i="82"/>
  <c r="C35" i="82"/>
  <c r="C34" i="82"/>
  <c r="C33" i="82"/>
  <c r="C31" i="82"/>
  <c r="C30" i="82"/>
  <c r="C29" i="82"/>
  <c r="C28" i="82"/>
  <c r="C27" i="82"/>
  <c r="C26" i="82"/>
  <c r="C25" i="82"/>
  <c r="C24" i="82"/>
  <c r="C23" i="82"/>
  <c r="C22" i="82"/>
  <c r="C20" i="82"/>
  <c r="C19" i="82"/>
  <c r="C18" i="82"/>
  <c r="C17" i="82"/>
  <c r="C16" i="82"/>
  <c r="C15" i="82"/>
  <c r="C14" i="82"/>
  <c r="C13" i="82"/>
  <c r="C12" i="82"/>
  <c r="C11" i="82"/>
  <c r="C10" i="82"/>
  <c r="C9" i="82"/>
  <c r="C8" i="82"/>
  <c r="C7" i="82"/>
  <c r="C42" i="82" s="1"/>
  <c r="C81" i="81"/>
  <c r="C77" i="81"/>
  <c r="C76" i="81"/>
  <c r="C75" i="81"/>
  <c r="C73" i="81"/>
  <c r="C72" i="81"/>
  <c r="C70" i="81"/>
  <c r="C67" i="81"/>
  <c r="C66" i="81"/>
  <c r="C62" i="81"/>
  <c r="C61" i="81"/>
  <c r="C56" i="81"/>
  <c r="C53" i="81"/>
  <c r="C52" i="81"/>
  <c r="C51" i="81"/>
  <c r="C50" i="81"/>
  <c r="C48" i="81"/>
  <c r="C47" i="81"/>
  <c r="C46" i="81"/>
  <c r="R42" i="81"/>
  <c r="Q42" i="81"/>
  <c r="P42" i="81"/>
  <c r="O42" i="81"/>
  <c r="N42" i="81"/>
  <c r="M42" i="81"/>
  <c r="L42" i="81"/>
  <c r="K42" i="81"/>
  <c r="J42" i="81"/>
  <c r="I42" i="81"/>
  <c r="H42" i="81"/>
  <c r="G42" i="81"/>
  <c r="F42" i="81"/>
  <c r="E42" i="81"/>
  <c r="D42" i="81"/>
  <c r="B42" i="81"/>
  <c r="C41" i="81"/>
  <c r="C40" i="81"/>
  <c r="C39" i="81"/>
  <c r="C37" i="81"/>
  <c r="C36" i="81"/>
  <c r="C35" i="81"/>
  <c r="C34" i="81"/>
  <c r="C33" i="81"/>
  <c r="C31" i="81"/>
  <c r="C30" i="81"/>
  <c r="C29" i="81"/>
  <c r="C28" i="81"/>
  <c r="C27" i="81"/>
  <c r="C26" i="81"/>
  <c r="C25" i="81"/>
  <c r="C24" i="81"/>
  <c r="C23" i="81"/>
  <c r="C22" i="81"/>
  <c r="C20" i="81"/>
  <c r="C19" i="81"/>
  <c r="C18" i="81"/>
  <c r="C17" i="81"/>
  <c r="C16" i="81"/>
  <c r="C15" i="81"/>
  <c r="C14" i="81"/>
  <c r="C13" i="81"/>
  <c r="C12" i="81"/>
  <c r="C11" i="81"/>
  <c r="C10" i="81"/>
  <c r="C9" i="81"/>
  <c r="C8" i="81"/>
  <c r="C7" i="81"/>
  <c r="C42" i="81" s="1"/>
  <c r="C81" i="80"/>
  <c r="C77" i="80"/>
  <c r="C76" i="80"/>
  <c r="C75" i="80"/>
  <c r="C73" i="80"/>
  <c r="C72" i="80"/>
  <c r="C70" i="80"/>
  <c r="C67" i="80"/>
  <c r="C66" i="80"/>
  <c r="C62" i="80"/>
  <c r="C61" i="80"/>
  <c r="C56" i="80"/>
  <c r="C53" i="80"/>
  <c r="C52" i="80"/>
  <c r="C51" i="80"/>
  <c r="C50" i="80"/>
  <c r="C48" i="80"/>
  <c r="C47" i="80"/>
  <c r="C46" i="80"/>
  <c r="R42" i="80"/>
  <c r="Q42" i="80"/>
  <c r="P42" i="80"/>
  <c r="O42" i="80"/>
  <c r="N42" i="80"/>
  <c r="M42" i="80"/>
  <c r="L42" i="80"/>
  <c r="K42" i="80"/>
  <c r="J42" i="80"/>
  <c r="I42" i="80"/>
  <c r="H42" i="80"/>
  <c r="G42" i="80"/>
  <c r="F42" i="80"/>
  <c r="E42" i="80"/>
  <c r="D42" i="80"/>
  <c r="B42" i="80"/>
  <c r="C41" i="80"/>
  <c r="C40" i="80"/>
  <c r="C39" i="80"/>
  <c r="C37" i="80"/>
  <c r="C36" i="80"/>
  <c r="C35" i="80"/>
  <c r="C34" i="80"/>
  <c r="C33" i="80"/>
  <c r="C31" i="80"/>
  <c r="C30" i="80"/>
  <c r="C29" i="80"/>
  <c r="C28" i="80"/>
  <c r="C27" i="80"/>
  <c r="C26" i="80"/>
  <c r="C25" i="80"/>
  <c r="C24" i="80"/>
  <c r="C23" i="80"/>
  <c r="C22" i="80"/>
  <c r="C20" i="80"/>
  <c r="C19" i="80"/>
  <c r="C18" i="80"/>
  <c r="C17" i="80"/>
  <c r="C16" i="80"/>
  <c r="C15" i="80"/>
  <c r="C14" i="80"/>
  <c r="C13" i="80"/>
  <c r="C12" i="80"/>
  <c r="C11" i="80"/>
  <c r="C10" i="80"/>
  <c r="C9" i="80"/>
  <c r="C8" i="80"/>
  <c r="C7" i="80"/>
  <c r="C42" i="80" s="1"/>
  <c r="C81" i="79"/>
  <c r="C77" i="79"/>
  <c r="C76" i="79"/>
  <c r="C75" i="79"/>
  <c r="C73" i="79"/>
  <c r="C72" i="79"/>
  <c r="C70" i="79"/>
  <c r="C67" i="79"/>
  <c r="C66" i="79"/>
  <c r="C62" i="79"/>
  <c r="C61" i="79"/>
  <c r="C56" i="79"/>
  <c r="C53" i="79"/>
  <c r="C52" i="79"/>
  <c r="C51" i="79"/>
  <c r="C50" i="79"/>
  <c r="C48" i="79"/>
  <c r="C47" i="79"/>
  <c r="C46" i="79"/>
  <c r="R42" i="79"/>
  <c r="Q42" i="79"/>
  <c r="P42" i="79"/>
  <c r="O42" i="79"/>
  <c r="N42" i="79"/>
  <c r="M42" i="79"/>
  <c r="L42" i="79"/>
  <c r="K42" i="79"/>
  <c r="J42" i="79"/>
  <c r="I42" i="79"/>
  <c r="H42" i="79"/>
  <c r="G42" i="79"/>
  <c r="F42" i="79"/>
  <c r="E42" i="79"/>
  <c r="D42" i="79"/>
  <c r="B42" i="79"/>
  <c r="C41" i="79"/>
  <c r="C40" i="79"/>
  <c r="C39" i="79"/>
  <c r="C37" i="79"/>
  <c r="C36" i="79"/>
  <c r="C35" i="79"/>
  <c r="C34" i="79"/>
  <c r="C33" i="79"/>
  <c r="C31" i="79"/>
  <c r="C30" i="79"/>
  <c r="C29" i="79"/>
  <c r="C28" i="79"/>
  <c r="C27" i="79"/>
  <c r="C26" i="79"/>
  <c r="C25" i="79"/>
  <c r="C24" i="79"/>
  <c r="C23" i="79"/>
  <c r="C22" i="79"/>
  <c r="C20" i="79"/>
  <c r="C19" i="79"/>
  <c r="C18" i="79"/>
  <c r="C17" i="79"/>
  <c r="C16" i="79"/>
  <c r="C15" i="79"/>
  <c r="C14" i="79"/>
  <c r="C13" i="79"/>
  <c r="C12" i="79"/>
  <c r="C11" i="79"/>
  <c r="C10" i="79"/>
  <c r="C9" i="79"/>
  <c r="C8" i="79"/>
  <c r="C7" i="79"/>
  <c r="C42" i="79" s="1"/>
  <c r="C81" i="78"/>
  <c r="C77" i="78"/>
  <c r="C76" i="78"/>
  <c r="C75" i="78"/>
  <c r="C73" i="78"/>
  <c r="C72" i="78"/>
  <c r="C70" i="78"/>
  <c r="C67" i="78"/>
  <c r="C66" i="78"/>
  <c r="C62" i="78"/>
  <c r="C61" i="78"/>
  <c r="C56" i="78"/>
  <c r="C53" i="78"/>
  <c r="C52" i="78"/>
  <c r="C51" i="78"/>
  <c r="C50" i="78"/>
  <c r="C48" i="78"/>
  <c r="C47" i="78"/>
  <c r="C46" i="78"/>
  <c r="R42" i="78"/>
  <c r="Q42" i="78"/>
  <c r="P42" i="78"/>
  <c r="O42" i="78"/>
  <c r="N42" i="78"/>
  <c r="M42" i="78"/>
  <c r="L42" i="78"/>
  <c r="K42" i="78"/>
  <c r="J42" i="78"/>
  <c r="I42" i="78"/>
  <c r="H42" i="78"/>
  <c r="G42" i="78"/>
  <c r="F42" i="78"/>
  <c r="E42" i="78"/>
  <c r="D42" i="78"/>
  <c r="B42" i="78"/>
  <c r="C41" i="78"/>
  <c r="C40" i="78"/>
  <c r="C39" i="78"/>
  <c r="C37" i="78"/>
  <c r="C36" i="78"/>
  <c r="C35" i="78"/>
  <c r="C34" i="78"/>
  <c r="C33" i="78"/>
  <c r="C31" i="78"/>
  <c r="C30" i="78"/>
  <c r="C29" i="78"/>
  <c r="C28" i="78"/>
  <c r="C27" i="78"/>
  <c r="C26" i="78"/>
  <c r="C25" i="78"/>
  <c r="C24" i="78"/>
  <c r="C23" i="78"/>
  <c r="C22" i="78"/>
  <c r="C20" i="78"/>
  <c r="C19" i="78"/>
  <c r="C18" i="78"/>
  <c r="C17" i="78"/>
  <c r="C16" i="78"/>
  <c r="C15" i="78"/>
  <c r="C14" i="78"/>
  <c r="C13" i="78"/>
  <c r="C12" i="78"/>
  <c r="C11" i="78"/>
  <c r="C10" i="78"/>
  <c r="C9" i="78"/>
  <c r="C8" i="78"/>
  <c r="C7" i="78"/>
  <c r="C42" i="78" s="1"/>
  <c r="C81" i="77"/>
  <c r="C77" i="77"/>
  <c r="C76" i="77"/>
  <c r="C75" i="77"/>
  <c r="C73" i="77"/>
  <c r="C72" i="77"/>
  <c r="C70" i="77"/>
  <c r="C67" i="77"/>
  <c r="C66" i="77"/>
  <c r="C62" i="77"/>
  <c r="C61" i="77"/>
  <c r="C56" i="77"/>
  <c r="C53" i="77"/>
  <c r="C52" i="77"/>
  <c r="C51" i="77"/>
  <c r="C50" i="77"/>
  <c r="C48" i="77"/>
  <c r="C47" i="77"/>
  <c r="C46" i="77"/>
  <c r="R42" i="77"/>
  <c r="Q42" i="77"/>
  <c r="P42" i="77"/>
  <c r="O42" i="77"/>
  <c r="N42" i="77"/>
  <c r="M42" i="77"/>
  <c r="L42" i="77"/>
  <c r="K42" i="77"/>
  <c r="J42" i="77"/>
  <c r="I42" i="77"/>
  <c r="H42" i="77"/>
  <c r="G42" i="77"/>
  <c r="F42" i="77"/>
  <c r="E42" i="77"/>
  <c r="D42" i="77"/>
  <c r="B42" i="77"/>
  <c r="C41" i="77"/>
  <c r="C40" i="77"/>
  <c r="C39" i="77"/>
  <c r="C37" i="77"/>
  <c r="C36" i="77"/>
  <c r="C35" i="77"/>
  <c r="C34" i="77"/>
  <c r="C33" i="77"/>
  <c r="C31" i="77"/>
  <c r="C30" i="77"/>
  <c r="C29" i="77"/>
  <c r="C28" i="77"/>
  <c r="C27" i="77"/>
  <c r="C26" i="77"/>
  <c r="C25" i="77"/>
  <c r="C24" i="77"/>
  <c r="C23" i="77"/>
  <c r="C22" i="77"/>
  <c r="C20" i="77"/>
  <c r="C19" i="77"/>
  <c r="C18" i="77"/>
  <c r="C17" i="77"/>
  <c r="C16" i="77"/>
  <c r="C15" i="77"/>
  <c r="C14" i="77"/>
  <c r="C13" i="77"/>
  <c r="C12" i="77"/>
  <c r="C11" i="77"/>
  <c r="C10" i="77"/>
  <c r="C9" i="77"/>
  <c r="C8" i="77"/>
  <c r="C7" i="77"/>
  <c r="C42" i="77" s="1"/>
  <c r="C81" i="76"/>
  <c r="C77" i="76"/>
  <c r="C76" i="76"/>
  <c r="C75" i="76"/>
  <c r="C73" i="76"/>
  <c r="C72" i="76"/>
  <c r="C70" i="76"/>
  <c r="C67" i="76"/>
  <c r="C66" i="76"/>
  <c r="C62" i="76"/>
  <c r="C61" i="76"/>
  <c r="C56" i="76"/>
  <c r="C53" i="76"/>
  <c r="C52" i="76"/>
  <c r="C51" i="76"/>
  <c r="C50" i="76"/>
  <c r="C48" i="76"/>
  <c r="C47" i="76"/>
  <c r="C46" i="76"/>
  <c r="R42" i="76"/>
  <c r="Q42" i="76"/>
  <c r="P42" i="76"/>
  <c r="O42" i="76"/>
  <c r="N42" i="76"/>
  <c r="M42" i="76"/>
  <c r="L42" i="76"/>
  <c r="K42" i="76"/>
  <c r="J42" i="76"/>
  <c r="I42" i="76"/>
  <c r="H42" i="76"/>
  <c r="G42" i="76"/>
  <c r="F42" i="76"/>
  <c r="E42" i="76"/>
  <c r="D42" i="76"/>
  <c r="B42" i="76"/>
  <c r="C41" i="76"/>
  <c r="C40" i="76"/>
  <c r="C39" i="76"/>
  <c r="C37" i="76"/>
  <c r="C36" i="76"/>
  <c r="C35" i="76"/>
  <c r="C34" i="76"/>
  <c r="C33" i="76"/>
  <c r="C31" i="76"/>
  <c r="C30" i="76"/>
  <c r="C29" i="76"/>
  <c r="C28" i="76"/>
  <c r="C27" i="76"/>
  <c r="C26" i="76"/>
  <c r="C25" i="76"/>
  <c r="C24" i="76"/>
  <c r="C23" i="76"/>
  <c r="C22" i="76"/>
  <c r="C20" i="76"/>
  <c r="C19" i="76"/>
  <c r="C18" i="76"/>
  <c r="C17" i="76"/>
  <c r="C16" i="76"/>
  <c r="C15" i="76"/>
  <c r="C14" i="76"/>
  <c r="C13" i="76"/>
  <c r="C12" i="76"/>
  <c r="C11" i="76"/>
  <c r="C10" i="76"/>
  <c r="C9" i="76"/>
  <c r="C8" i="76"/>
  <c r="C7" i="76"/>
  <c r="C42" i="76" s="1"/>
  <c r="C81" i="75"/>
  <c r="C77" i="75"/>
  <c r="C76" i="75"/>
  <c r="C75" i="75"/>
  <c r="C73" i="75"/>
  <c r="C72" i="75"/>
  <c r="C70" i="75"/>
  <c r="C67" i="75"/>
  <c r="C66" i="75"/>
  <c r="C62" i="75"/>
  <c r="C61" i="75"/>
  <c r="C56" i="75"/>
  <c r="C53" i="75"/>
  <c r="C52" i="75"/>
  <c r="C51" i="75"/>
  <c r="C50" i="75"/>
  <c r="C48" i="75"/>
  <c r="C47" i="75"/>
  <c r="C46" i="75"/>
  <c r="R42" i="75"/>
  <c r="Q42" i="75"/>
  <c r="P42" i="75"/>
  <c r="O42" i="75"/>
  <c r="N42" i="75"/>
  <c r="M42" i="75"/>
  <c r="L42" i="75"/>
  <c r="K42" i="75"/>
  <c r="J42" i="75"/>
  <c r="I42" i="75"/>
  <c r="H42" i="75"/>
  <c r="G42" i="75"/>
  <c r="F42" i="75"/>
  <c r="E42" i="75"/>
  <c r="D42" i="75"/>
  <c r="B42" i="75"/>
  <c r="C41" i="75"/>
  <c r="C40" i="75"/>
  <c r="C39" i="75"/>
  <c r="C37" i="75"/>
  <c r="C36" i="75"/>
  <c r="C35" i="75"/>
  <c r="C34" i="75"/>
  <c r="C33" i="75"/>
  <c r="C31" i="75"/>
  <c r="C30" i="75"/>
  <c r="C29" i="75"/>
  <c r="C28" i="75"/>
  <c r="C27" i="75"/>
  <c r="C26" i="75"/>
  <c r="C25" i="75"/>
  <c r="C24" i="75"/>
  <c r="C23" i="75"/>
  <c r="C22" i="75"/>
  <c r="C20" i="75"/>
  <c r="C19" i="75"/>
  <c r="C18" i="75"/>
  <c r="C17" i="75"/>
  <c r="C16" i="75"/>
  <c r="C15" i="75"/>
  <c r="C14" i="75"/>
  <c r="C13" i="75"/>
  <c r="C12" i="75"/>
  <c r="C11" i="75"/>
  <c r="C10" i="75"/>
  <c r="C9" i="75"/>
  <c r="C8" i="75"/>
  <c r="C42" i="75" s="1"/>
  <c r="C7" i="75"/>
  <c r="C81" i="74"/>
  <c r="C77" i="74"/>
  <c r="C76" i="74"/>
  <c r="C75" i="74"/>
  <c r="C73" i="74"/>
  <c r="C72" i="74"/>
  <c r="C70" i="74"/>
  <c r="C67" i="74"/>
  <c r="C66" i="74"/>
  <c r="C62" i="74"/>
  <c r="C61" i="74"/>
  <c r="C56" i="74"/>
  <c r="C53" i="74"/>
  <c r="C52" i="74"/>
  <c r="C51" i="74"/>
  <c r="C50" i="74"/>
  <c r="C48" i="74"/>
  <c r="C47" i="74"/>
  <c r="C46" i="74"/>
  <c r="R42" i="74"/>
  <c r="Q42" i="74"/>
  <c r="P42" i="74"/>
  <c r="O42" i="74"/>
  <c r="N42" i="74"/>
  <c r="M42" i="74"/>
  <c r="L42" i="74"/>
  <c r="K42" i="74"/>
  <c r="J42" i="74"/>
  <c r="I42" i="74"/>
  <c r="H42" i="74"/>
  <c r="G42" i="74"/>
  <c r="F42" i="74"/>
  <c r="E42" i="74"/>
  <c r="D42" i="74"/>
  <c r="B42" i="74"/>
  <c r="C41" i="74"/>
  <c r="C40" i="74"/>
  <c r="C39" i="74"/>
  <c r="C37" i="74"/>
  <c r="C36" i="74"/>
  <c r="C35" i="74"/>
  <c r="C34" i="74"/>
  <c r="C33" i="74"/>
  <c r="C31" i="74"/>
  <c r="C30" i="74"/>
  <c r="C29" i="74"/>
  <c r="C28" i="74"/>
  <c r="C27" i="74"/>
  <c r="C26" i="74"/>
  <c r="C25" i="74"/>
  <c r="C24" i="74"/>
  <c r="C23" i="74"/>
  <c r="C22" i="74"/>
  <c r="C20" i="74"/>
  <c r="C19" i="74"/>
  <c r="C18" i="74"/>
  <c r="C17" i="74"/>
  <c r="C16" i="74"/>
  <c r="C15" i="74"/>
  <c r="C14" i="74"/>
  <c r="C13" i="74"/>
  <c r="C12" i="74"/>
  <c r="C11" i="74"/>
  <c r="C10" i="74"/>
  <c r="C9" i="74"/>
  <c r="C8" i="74"/>
  <c r="C42" i="74" s="1"/>
  <c r="C7" i="74"/>
  <c r="C81" i="73"/>
  <c r="C77" i="73"/>
  <c r="C76" i="73"/>
  <c r="C75" i="73"/>
  <c r="C73" i="73"/>
  <c r="C72" i="73"/>
  <c r="C70" i="73"/>
  <c r="C67" i="73"/>
  <c r="C66" i="73"/>
  <c r="C62" i="73"/>
  <c r="C61" i="73"/>
  <c r="C56" i="73"/>
  <c r="C53" i="73"/>
  <c r="C52" i="73"/>
  <c r="C51" i="73"/>
  <c r="C50" i="73"/>
  <c r="C48" i="73"/>
  <c r="C47" i="73"/>
  <c r="C46" i="73"/>
  <c r="R42" i="73"/>
  <c r="Q42" i="73"/>
  <c r="P42" i="73"/>
  <c r="O42" i="73"/>
  <c r="N42" i="73"/>
  <c r="M42" i="73"/>
  <c r="L42" i="73"/>
  <c r="K42" i="73"/>
  <c r="J42" i="73"/>
  <c r="I42" i="73"/>
  <c r="H42" i="73"/>
  <c r="G42" i="73"/>
  <c r="F42" i="73"/>
  <c r="E42" i="73"/>
  <c r="D42" i="73"/>
  <c r="B42" i="73"/>
  <c r="C41" i="73"/>
  <c r="C40" i="73"/>
  <c r="C39" i="73"/>
  <c r="C37" i="73"/>
  <c r="C36" i="73"/>
  <c r="C35" i="73"/>
  <c r="C34" i="73"/>
  <c r="C33" i="73"/>
  <c r="C31" i="73"/>
  <c r="C30" i="73"/>
  <c r="C29" i="73"/>
  <c r="C28" i="73"/>
  <c r="C27" i="73"/>
  <c r="C26" i="73"/>
  <c r="C25" i="73"/>
  <c r="C24" i="73"/>
  <c r="C23" i="73"/>
  <c r="C22" i="73"/>
  <c r="C20" i="73"/>
  <c r="C19" i="73"/>
  <c r="C18" i="73"/>
  <c r="C17" i="73"/>
  <c r="C16" i="73"/>
  <c r="C15" i="73"/>
  <c r="C14" i="73"/>
  <c r="C13" i="73"/>
  <c r="C12" i="73"/>
  <c r="C11" i="73"/>
  <c r="C10" i="73"/>
  <c r="C9" i="73"/>
  <c r="C8" i="73"/>
  <c r="C42" i="73" s="1"/>
  <c r="C7" i="73"/>
  <c r="C81" i="72"/>
  <c r="C77" i="72"/>
  <c r="C76" i="72"/>
  <c r="C75" i="72"/>
  <c r="C73" i="72"/>
  <c r="C72" i="72"/>
  <c r="C70" i="72"/>
  <c r="C67" i="72"/>
  <c r="C66" i="72"/>
  <c r="C62" i="72"/>
  <c r="C61" i="72"/>
  <c r="C56" i="72"/>
  <c r="C53" i="72"/>
  <c r="C52" i="72"/>
  <c r="C51" i="72"/>
  <c r="C50" i="72"/>
  <c r="C48" i="72"/>
  <c r="C47" i="72"/>
  <c r="C46" i="72"/>
  <c r="R42" i="72"/>
  <c r="Q42" i="72"/>
  <c r="P42" i="72"/>
  <c r="O42" i="72"/>
  <c r="N42" i="72"/>
  <c r="M42" i="72"/>
  <c r="L42" i="72"/>
  <c r="K42" i="72"/>
  <c r="J42" i="72"/>
  <c r="I42" i="72"/>
  <c r="H42" i="72"/>
  <c r="G42" i="72"/>
  <c r="F42" i="72"/>
  <c r="E42" i="72"/>
  <c r="D42" i="72"/>
  <c r="B42" i="72"/>
  <c r="C41" i="72"/>
  <c r="C40" i="72"/>
  <c r="C39" i="72"/>
  <c r="C37" i="72"/>
  <c r="C36" i="72"/>
  <c r="C35" i="72"/>
  <c r="C34" i="72"/>
  <c r="C33" i="72"/>
  <c r="C31" i="72"/>
  <c r="C30" i="72"/>
  <c r="C29" i="72"/>
  <c r="C28" i="72"/>
  <c r="C27" i="72"/>
  <c r="C26" i="72"/>
  <c r="C25" i="72"/>
  <c r="C24" i="72"/>
  <c r="C23" i="72"/>
  <c r="C22" i="72"/>
  <c r="C20" i="72"/>
  <c r="C19" i="72"/>
  <c r="C18" i="72"/>
  <c r="C17" i="72"/>
  <c r="C16" i="72"/>
  <c r="C15" i="72"/>
  <c r="C14" i="72"/>
  <c r="C13" i="72"/>
  <c r="C12" i="72"/>
  <c r="C11" i="72"/>
  <c r="C10" i="72"/>
  <c r="C9" i="72"/>
  <c r="C8" i="72"/>
  <c r="C42" i="72" s="1"/>
  <c r="C7" i="72"/>
  <c r="C81" i="71"/>
  <c r="C77" i="71"/>
  <c r="C76" i="71"/>
  <c r="C75" i="71"/>
  <c r="C73" i="71"/>
  <c r="C72" i="71"/>
  <c r="C70" i="71"/>
  <c r="C67" i="71"/>
  <c r="C66" i="71"/>
  <c r="C62" i="71"/>
  <c r="C61" i="71"/>
  <c r="C56" i="71"/>
  <c r="C53" i="71"/>
  <c r="C52" i="71"/>
  <c r="C51" i="71"/>
  <c r="C50" i="71"/>
  <c r="C48" i="71"/>
  <c r="C47" i="71"/>
  <c r="C46" i="71"/>
  <c r="R42" i="71"/>
  <c r="Q42" i="71"/>
  <c r="P42" i="71"/>
  <c r="O42" i="71"/>
  <c r="N42" i="71"/>
  <c r="M42" i="71"/>
  <c r="L42" i="71"/>
  <c r="K42" i="71"/>
  <c r="J42" i="71"/>
  <c r="I42" i="71"/>
  <c r="H42" i="71"/>
  <c r="G42" i="71"/>
  <c r="F42" i="71"/>
  <c r="E42" i="71"/>
  <c r="D42" i="71"/>
  <c r="B42" i="71"/>
  <c r="C41" i="71"/>
  <c r="C40" i="71"/>
  <c r="C39" i="71"/>
  <c r="C37" i="71"/>
  <c r="C36" i="71"/>
  <c r="C35" i="71"/>
  <c r="C34" i="71"/>
  <c r="C33" i="71"/>
  <c r="C31" i="71"/>
  <c r="C30" i="71"/>
  <c r="C29" i="71"/>
  <c r="C28" i="71"/>
  <c r="C27" i="71"/>
  <c r="C26" i="71"/>
  <c r="C25" i="71"/>
  <c r="C24" i="71"/>
  <c r="C23" i="71"/>
  <c r="C22" i="71"/>
  <c r="C20" i="71"/>
  <c r="C19" i="71"/>
  <c r="C18" i="71"/>
  <c r="C17" i="71"/>
  <c r="C16" i="71"/>
  <c r="C15" i="71"/>
  <c r="C14" i="71"/>
  <c r="C13" i="71"/>
  <c r="C12" i="71"/>
  <c r="C11" i="71"/>
  <c r="C10" i="71"/>
  <c r="C9" i="71"/>
  <c r="C8" i="71"/>
  <c r="C42" i="71" s="1"/>
  <c r="C7" i="71"/>
  <c r="C81" i="70"/>
  <c r="C77" i="70"/>
  <c r="C76" i="70"/>
  <c r="C75" i="70"/>
  <c r="C73" i="70"/>
  <c r="C72" i="70"/>
  <c r="C70" i="70"/>
  <c r="C67" i="70"/>
  <c r="C66" i="70"/>
  <c r="C62" i="70"/>
  <c r="C61" i="70"/>
  <c r="C56" i="70"/>
  <c r="C53" i="70"/>
  <c r="C52" i="70"/>
  <c r="C51" i="70"/>
  <c r="C50" i="70"/>
  <c r="C48" i="70"/>
  <c r="C47" i="70"/>
  <c r="C46" i="70"/>
  <c r="R42" i="70"/>
  <c r="Q42" i="70"/>
  <c r="P42" i="70"/>
  <c r="O42" i="70"/>
  <c r="N42" i="70"/>
  <c r="M42" i="70"/>
  <c r="L42" i="70"/>
  <c r="K42" i="70"/>
  <c r="J42" i="70"/>
  <c r="I42" i="70"/>
  <c r="H42" i="70"/>
  <c r="G42" i="70"/>
  <c r="F42" i="70"/>
  <c r="E42" i="70"/>
  <c r="D42" i="70"/>
  <c r="B42" i="70"/>
  <c r="C41" i="70"/>
  <c r="C40" i="70"/>
  <c r="C39" i="70"/>
  <c r="C37" i="70"/>
  <c r="C36" i="70"/>
  <c r="C35" i="70"/>
  <c r="C34" i="70"/>
  <c r="C33" i="70"/>
  <c r="C31" i="70"/>
  <c r="C30" i="70"/>
  <c r="C29" i="70"/>
  <c r="C28" i="70"/>
  <c r="C27" i="70"/>
  <c r="C26" i="70"/>
  <c r="C25" i="70"/>
  <c r="C24" i="70"/>
  <c r="C23" i="70"/>
  <c r="C22" i="70"/>
  <c r="C20" i="70"/>
  <c r="C19" i="70"/>
  <c r="C18" i="70"/>
  <c r="C17" i="70"/>
  <c r="C16" i="70"/>
  <c r="C15" i="70"/>
  <c r="C14" i="70"/>
  <c r="C13" i="70"/>
  <c r="C12" i="70"/>
  <c r="C11" i="70"/>
  <c r="C10" i="70"/>
  <c r="C9" i="70"/>
  <c r="C8" i="70"/>
  <c r="C42" i="70" s="1"/>
  <c r="C7" i="70"/>
  <c r="C81" i="69"/>
  <c r="C77" i="69"/>
  <c r="C76" i="69"/>
  <c r="C75" i="69"/>
  <c r="C73" i="69"/>
  <c r="C72" i="69"/>
  <c r="C70" i="69"/>
  <c r="C67" i="69"/>
  <c r="C66" i="69"/>
  <c r="C62" i="69"/>
  <c r="C61" i="69"/>
  <c r="C56" i="69"/>
  <c r="C53" i="69"/>
  <c r="C52" i="69"/>
  <c r="C51" i="69"/>
  <c r="C50" i="69"/>
  <c r="C48" i="69"/>
  <c r="C47" i="69"/>
  <c r="C46" i="69"/>
  <c r="R42" i="69"/>
  <c r="Q42" i="69"/>
  <c r="P42" i="69"/>
  <c r="O42" i="69"/>
  <c r="N42" i="69"/>
  <c r="M42" i="69"/>
  <c r="L42" i="69"/>
  <c r="K42" i="69"/>
  <c r="J42" i="69"/>
  <c r="I42" i="69"/>
  <c r="H42" i="69"/>
  <c r="G42" i="69"/>
  <c r="F42" i="69"/>
  <c r="E42" i="69"/>
  <c r="D42" i="69"/>
  <c r="B42" i="69"/>
  <c r="C41" i="69"/>
  <c r="C40" i="69"/>
  <c r="C39" i="69"/>
  <c r="C37" i="69"/>
  <c r="C36" i="69"/>
  <c r="C35" i="69"/>
  <c r="C34" i="69"/>
  <c r="C33" i="69"/>
  <c r="C31" i="69"/>
  <c r="C30" i="69"/>
  <c r="C29" i="69"/>
  <c r="C28" i="69"/>
  <c r="C27" i="69"/>
  <c r="C26" i="69"/>
  <c r="C25" i="69"/>
  <c r="C24" i="69"/>
  <c r="C23" i="69"/>
  <c r="C22" i="69"/>
  <c r="C20" i="69"/>
  <c r="C19" i="69"/>
  <c r="C18" i="69"/>
  <c r="C17" i="69"/>
  <c r="C16" i="69"/>
  <c r="C15" i="69"/>
  <c r="C14" i="69"/>
  <c r="C13" i="69"/>
  <c r="C12" i="69"/>
  <c r="C11" i="69"/>
  <c r="C10" i="69"/>
  <c r="C9" i="69"/>
  <c r="C8" i="69"/>
  <c r="C42" i="69" s="1"/>
  <c r="C7" i="69"/>
  <c r="C81" i="68"/>
  <c r="C77" i="68"/>
  <c r="C76" i="68"/>
  <c r="C75" i="68"/>
  <c r="C73" i="68"/>
  <c r="C72" i="68"/>
  <c r="C70" i="68"/>
  <c r="C67" i="68"/>
  <c r="C66" i="68"/>
  <c r="C62" i="68"/>
  <c r="C61" i="68"/>
  <c r="C56" i="68"/>
  <c r="C53" i="68"/>
  <c r="C52" i="68"/>
  <c r="C51" i="68"/>
  <c r="C50" i="68"/>
  <c r="C48" i="68"/>
  <c r="C47" i="68"/>
  <c r="C46" i="68"/>
  <c r="R42" i="68"/>
  <c r="Q42" i="68"/>
  <c r="P42" i="68"/>
  <c r="O42" i="68"/>
  <c r="N42" i="68"/>
  <c r="M42" i="68"/>
  <c r="L42" i="68"/>
  <c r="K42" i="68"/>
  <c r="J42" i="68"/>
  <c r="I42" i="68"/>
  <c r="H42" i="68"/>
  <c r="G42" i="68"/>
  <c r="F42" i="68"/>
  <c r="E42" i="68"/>
  <c r="D42" i="68"/>
  <c r="B42" i="68"/>
  <c r="C41" i="68"/>
  <c r="C40" i="68"/>
  <c r="C39" i="68"/>
  <c r="C37" i="68"/>
  <c r="C36" i="68"/>
  <c r="C35" i="68"/>
  <c r="C34" i="68"/>
  <c r="C33" i="68"/>
  <c r="C31" i="68"/>
  <c r="C30" i="68"/>
  <c r="C29" i="68"/>
  <c r="C28" i="68"/>
  <c r="C27" i="68"/>
  <c r="C26" i="68"/>
  <c r="C25" i="68"/>
  <c r="C24" i="68"/>
  <c r="C23" i="68"/>
  <c r="C22" i="68"/>
  <c r="C20" i="68"/>
  <c r="C19" i="68"/>
  <c r="C18" i="68"/>
  <c r="C17" i="68"/>
  <c r="C16" i="68"/>
  <c r="C15" i="68"/>
  <c r="C14" i="68"/>
  <c r="C13" i="68"/>
  <c r="C12" i="68"/>
  <c r="C11" i="68"/>
  <c r="C10" i="68"/>
  <c r="C9" i="68"/>
  <c r="C8" i="68"/>
  <c r="C42" i="68" s="1"/>
  <c r="C7" i="68"/>
  <c r="C81" i="67"/>
  <c r="C77" i="67"/>
  <c r="C76" i="67"/>
  <c r="C75" i="67"/>
  <c r="C73" i="67"/>
  <c r="C72" i="67"/>
  <c r="C70" i="67"/>
  <c r="C67" i="67"/>
  <c r="C66" i="67"/>
  <c r="C62" i="67"/>
  <c r="C61" i="67"/>
  <c r="C56" i="67"/>
  <c r="C53" i="67"/>
  <c r="C52" i="67"/>
  <c r="C51" i="67"/>
  <c r="C50" i="67"/>
  <c r="C48" i="67"/>
  <c r="C47" i="67"/>
  <c r="C46" i="67"/>
  <c r="R42" i="67"/>
  <c r="Q42" i="67"/>
  <c r="P42" i="67"/>
  <c r="O42" i="67"/>
  <c r="N42" i="67"/>
  <c r="M42" i="67"/>
  <c r="L42" i="67"/>
  <c r="K42" i="67"/>
  <c r="J42" i="67"/>
  <c r="I42" i="67"/>
  <c r="H42" i="67"/>
  <c r="G42" i="67"/>
  <c r="F42" i="67"/>
  <c r="E42" i="67"/>
  <c r="D42" i="67"/>
  <c r="B42" i="67"/>
  <c r="C41" i="67"/>
  <c r="C40" i="67"/>
  <c r="C39" i="67"/>
  <c r="C37" i="67"/>
  <c r="C36" i="67"/>
  <c r="C35" i="67"/>
  <c r="C34" i="67"/>
  <c r="C33" i="67"/>
  <c r="C31" i="67"/>
  <c r="C30" i="67"/>
  <c r="C29" i="67"/>
  <c r="C28" i="67"/>
  <c r="C27" i="67"/>
  <c r="C26" i="67"/>
  <c r="C25" i="67"/>
  <c r="C24" i="67"/>
  <c r="C23" i="67"/>
  <c r="C22" i="67"/>
  <c r="C20" i="67"/>
  <c r="C19" i="67"/>
  <c r="C18" i="67"/>
  <c r="C17" i="67"/>
  <c r="C16" i="67"/>
  <c r="C15" i="67"/>
  <c r="C14" i="67"/>
  <c r="C13" i="67"/>
  <c r="C12" i="67"/>
  <c r="C11" i="67"/>
  <c r="C10" i="67"/>
  <c r="C9" i="67"/>
  <c r="C8" i="67"/>
  <c r="C42" i="67" s="1"/>
  <c r="C7" i="67"/>
  <c r="C81" i="66"/>
  <c r="C77" i="66"/>
  <c r="C76" i="66"/>
  <c r="C75" i="66"/>
  <c r="C73" i="66"/>
  <c r="C72" i="66"/>
  <c r="C70" i="66"/>
  <c r="C67" i="66"/>
  <c r="C66" i="66"/>
  <c r="C62" i="66"/>
  <c r="C61" i="66"/>
  <c r="C56" i="66"/>
  <c r="C53" i="66"/>
  <c r="C52" i="66"/>
  <c r="C51" i="66"/>
  <c r="C50" i="66"/>
  <c r="C48" i="66"/>
  <c r="C47" i="66"/>
  <c r="C46" i="66"/>
  <c r="R42" i="66"/>
  <c r="Q42" i="66"/>
  <c r="P42" i="66"/>
  <c r="O42" i="66"/>
  <c r="N42" i="66"/>
  <c r="M42" i="66"/>
  <c r="L42" i="66"/>
  <c r="K42" i="66"/>
  <c r="J42" i="66"/>
  <c r="I42" i="66"/>
  <c r="H42" i="66"/>
  <c r="G42" i="66"/>
  <c r="F42" i="66"/>
  <c r="E42" i="66"/>
  <c r="D42" i="66"/>
  <c r="B42" i="66"/>
  <c r="C41" i="66"/>
  <c r="C40" i="66"/>
  <c r="C39" i="66"/>
  <c r="C37" i="66"/>
  <c r="C36" i="66"/>
  <c r="C35" i="66"/>
  <c r="C34" i="66"/>
  <c r="C33" i="66"/>
  <c r="C31" i="66"/>
  <c r="C30" i="66"/>
  <c r="C29" i="66"/>
  <c r="C28" i="66"/>
  <c r="C27" i="66"/>
  <c r="C26" i="66"/>
  <c r="C25" i="66"/>
  <c r="C24" i="66"/>
  <c r="C23" i="66"/>
  <c r="C22" i="66"/>
  <c r="C20" i="66"/>
  <c r="C19" i="66"/>
  <c r="C18" i="66"/>
  <c r="C17" i="66"/>
  <c r="C16" i="66"/>
  <c r="C15" i="66"/>
  <c r="C14" i="66"/>
  <c r="C13" i="66"/>
  <c r="C12" i="66"/>
  <c r="C11" i="66"/>
  <c r="C10" i="66"/>
  <c r="C9" i="66"/>
  <c r="C8" i="66"/>
  <c r="C42" i="66" s="1"/>
  <c r="C7" i="66"/>
  <c r="C81" i="65"/>
  <c r="C77" i="65"/>
  <c r="C76" i="65"/>
  <c r="C75" i="65"/>
  <c r="C73" i="65"/>
  <c r="C72" i="65"/>
  <c r="C70" i="65"/>
  <c r="C67" i="65"/>
  <c r="C66" i="65"/>
  <c r="C62" i="65"/>
  <c r="C61" i="65"/>
  <c r="C56" i="65"/>
  <c r="C53" i="65"/>
  <c r="C52" i="65"/>
  <c r="C51" i="65"/>
  <c r="C50" i="65"/>
  <c r="C48" i="65"/>
  <c r="C47" i="65"/>
  <c r="C46" i="65"/>
  <c r="R42" i="65"/>
  <c r="Q42" i="65"/>
  <c r="P42" i="65"/>
  <c r="O42" i="65"/>
  <c r="N42" i="65"/>
  <c r="M42" i="65"/>
  <c r="L42" i="65"/>
  <c r="K42" i="65"/>
  <c r="J42" i="65"/>
  <c r="I42" i="65"/>
  <c r="H42" i="65"/>
  <c r="G42" i="65"/>
  <c r="F42" i="65"/>
  <c r="E42" i="65"/>
  <c r="D42" i="65"/>
  <c r="B42" i="65"/>
  <c r="C41" i="65"/>
  <c r="C40" i="65"/>
  <c r="C39" i="65"/>
  <c r="C37" i="65"/>
  <c r="C36" i="65"/>
  <c r="C35" i="65"/>
  <c r="C34" i="65"/>
  <c r="C33" i="65"/>
  <c r="C31" i="65"/>
  <c r="C30" i="65"/>
  <c r="C29" i="65"/>
  <c r="C28" i="65"/>
  <c r="C27" i="65"/>
  <c r="C26" i="65"/>
  <c r="C25" i="65"/>
  <c r="C24" i="65"/>
  <c r="C23" i="65"/>
  <c r="C22" i="65"/>
  <c r="C20" i="65"/>
  <c r="C19" i="65"/>
  <c r="C18" i="65"/>
  <c r="C17" i="65"/>
  <c r="C16" i="65"/>
  <c r="C15" i="65"/>
  <c r="C14" i="65"/>
  <c r="C13" i="65"/>
  <c r="C12" i="65"/>
  <c r="C11" i="65"/>
  <c r="C10" i="65"/>
  <c r="C9" i="65"/>
  <c r="C8" i="65"/>
  <c r="C7" i="65"/>
  <c r="C42" i="65" s="1"/>
  <c r="C81" i="64"/>
  <c r="C77" i="64"/>
  <c r="C76" i="64"/>
  <c r="C75" i="64"/>
  <c r="C73" i="64"/>
  <c r="C72" i="64"/>
  <c r="C70" i="64"/>
  <c r="C67" i="64"/>
  <c r="C66" i="64"/>
  <c r="C62" i="64"/>
  <c r="C61" i="64"/>
  <c r="C56" i="64"/>
  <c r="C53" i="64"/>
  <c r="C52" i="64"/>
  <c r="C51" i="64"/>
  <c r="C50" i="64"/>
  <c r="C48" i="64"/>
  <c r="C47" i="64"/>
  <c r="C46" i="64"/>
  <c r="R42" i="64"/>
  <c r="Q42" i="64"/>
  <c r="P42" i="64"/>
  <c r="O42" i="64"/>
  <c r="N42" i="64"/>
  <c r="M42" i="64"/>
  <c r="L42" i="64"/>
  <c r="K42" i="64"/>
  <c r="J42" i="64"/>
  <c r="I42" i="64"/>
  <c r="H42" i="64"/>
  <c r="G42" i="64"/>
  <c r="F42" i="64"/>
  <c r="E42" i="64"/>
  <c r="D42" i="64"/>
  <c r="B42" i="64"/>
  <c r="C41" i="64"/>
  <c r="C40" i="64"/>
  <c r="C39" i="64"/>
  <c r="C37" i="64"/>
  <c r="C36" i="64"/>
  <c r="C35" i="64"/>
  <c r="C34" i="64"/>
  <c r="C33" i="64"/>
  <c r="C31" i="64"/>
  <c r="C30" i="64"/>
  <c r="C29" i="64"/>
  <c r="C28" i="64"/>
  <c r="C27" i="64"/>
  <c r="C26" i="64"/>
  <c r="C25" i="64"/>
  <c r="C24" i="64"/>
  <c r="C23" i="64"/>
  <c r="C22" i="64"/>
  <c r="C20" i="64"/>
  <c r="C19" i="64"/>
  <c r="C18" i="64"/>
  <c r="C17" i="64"/>
  <c r="C16" i="64"/>
  <c r="C15" i="64"/>
  <c r="C14" i="64"/>
  <c r="C13" i="64"/>
  <c r="C12" i="64"/>
  <c r="C11" i="64"/>
  <c r="C10" i="64"/>
  <c r="C9" i="64"/>
  <c r="C8" i="64"/>
  <c r="C7" i="64"/>
  <c r="C42" i="64" s="1"/>
  <c r="C81" i="63"/>
  <c r="C77" i="63"/>
  <c r="C76" i="63"/>
  <c r="C75" i="63"/>
  <c r="C73" i="63"/>
  <c r="C72" i="63"/>
  <c r="C70" i="63"/>
  <c r="C67" i="63"/>
  <c r="C66" i="63"/>
  <c r="C62" i="63"/>
  <c r="C61" i="63"/>
  <c r="C56" i="63"/>
  <c r="C53" i="63"/>
  <c r="C52" i="63"/>
  <c r="C51" i="63"/>
  <c r="C50" i="63"/>
  <c r="C48" i="63"/>
  <c r="C47" i="63"/>
  <c r="C46" i="63"/>
  <c r="R42" i="63"/>
  <c r="Q42" i="63"/>
  <c r="P42" i="63"/>
  <c r="O42" i="63"/>
  <c r="N42" i="63"/>
  <c r="M42" i="63"/>
  <c r="L42" i="63"/>
  <c r="K42" i="63"/>
  <c r="J42" i="63"/>
  <c r="I42" i="63"/>
  <c r="H42" i="63"/>
  <c r="G42" i="63"/>
  <c r="F42" i="63"/>
  <c r="E42" i="63"/>
  <c r="D42" i="63"/>
  <c r="B42" i="63"/>
  <c r="C41" i="63"/>
  <c r="C40" i="63"/>
  <c r="C39" i="63"/>
  <c r="C37" i="63"/>
  <c r="C36" i="63"/>
  <c r="C35" i="63"/>
  <c r="C34" i="63"/>
  <c r="C33" i="63"/>
  <c r="C31" i="63"/>
  <c r="C30" i="63"/>
  <c r="C29" i="63"/>
  <c r="C28" i="63"/>
  <c r="C27" i="63"/>
  <c r="C26" i="63"/>
  <c r="C25" i="63"/>
  <c r="C24" i="63"/>
  <c r="C23" i="63"/>
  <c r="C22" i="63"/>
  <c r="C20" i="63"/>
  <c r="C19" i="63"/>
  <c r="C18" i="63"/>
  <c r="C17" i="63"/>
  <c r="C16" i="63"/>
  <c r="C15" i="63"/>
  <c r="C14" i="63"/>
  <c r="C13" i="63"/>
  <c r="C12" i="63"/>
  <c r="C11" i="63"/>
  <c r="C10" i="63"/>
  <c r="C9" i="63"/>
  <c r="C8" i="63"/>
  <c r="C7" i="63"/>
  <c r="C42" i="63" s="1"/>
  <c r="C81" i="62"/>
  <c r="C77" i="62"/>
  <c r="C76" i="62"/>
  <c r="C75" i="62"/>
  <c r="C73" i="62"/>
  <c r="C72" i="62"/>
  <c r="C70" i="62"/>
  <c r="C67" i="62"/>
  <c r="C66" i="62"/>
  <c r="C62" i="62"/>
  <c r="C61" i="62"/>
  <c r="C56" i="62"/>
  <c r="C53" i="62"/>
  <c r="C52" i="62"/>
  <c r="C51" i="62"/>
  <c r="C50" i="62"/>
  <c r="C48" i="62"/>
  <c r="C47" i="62"/>
  <c r="C46" i="62"/>
  <c r="X42" i="62"/>
  <c r="W42" i="62"/>
  <c r="V42" i="62"/>
  <c r="U42" i="62"/>
  <c r="T42" i="62"/>
  <c r="S42" i="62"/>
  <c r="R42" i="62"/>
  <c r="Q42" i="62"/>
  <c r="P42" i="62"/>
  <c r="O42" i="62"/>
  <c r="N42" i="62"/>
  <c r="M42" i="62"/>
  <c r="L42" i="62"/>
  <c r="K42" i="62"/>
  <c r="J42" i="62"/>
  <c r="I42" i="62"/>
  <c r="H42" i="62"/>
  <c r="G42" i="62"/>
  <c r="F42" i="62"/>
  <c r="E42" i="62"/>
  <c r="D42" i="62"/>
  <c r="B42" i="62"/>
  <c r="C41" i="62"/>
  <c r="C40" i="62"/>
  <c r="C39" i="62"/>
  <c r="C37" i="62"/>
  <c r="C36" i="62"/>
  <c r="C35" i="62"/>
  <c r="C34" i="62"/>
  <c r="C33" i="62"/>
  <c r="C31" i="62"/>
  <c r="C30" i="62"/>
  <c r="C29" i="62"/>
  <c r="C28" i="62"/>
  <c r="C27" i="62"/>
  <c r="C26" i="62"/>
  <c r="C25" i="62"/>
  <c r="C24" i="62"/>
  <c r="C23" i="62"/>
  <c r="C22" i="62"/>
  <c r="C20" i="62"/>
  <c r="C19" i="62"/>
  <c r="C18" i="62"/>
  <c r="C17" i="62"/>
  <c r="C16" i="62"/>
  <c r="C15" i="62"/>
  <c r="C14" i="62"/>
  <c r="C13" i="62"/>
  <c r="C12" i="62"/>
  <c r="C11" i="62"/>
  <c r="C10" i="62"/>
  <c r="C9" i="62"/>
  <c r="C8" i="62"/>
  <c r="C42" i="62" s="1"/>
  <c r="C7" i="62"/>
  <c r="C81" i="61"/>
  <c r="C77" i="61"/>
  <c r="C76" i="61"/>
  <c r="C75" i="61"/>
  <c r="C73" i="61"/>
  <c r="C72" i="61"/>
  <c r="C70" i="61"/>
  <c r="C67" i="61"/>
  <c r="C66" i="61"/>
  <c r="C62" i="61"/>
  <c r="C61" i="61"/>
  <c r="C56" i="61"/>
  <c r="C53" i="61"/>
  <c r="C52" i="61"/>
  <c r="C51" i="61"/>
  <c r="C50" i="61"/>
  <c r="C48" i="61"/>
  <c r="C47" i="61"/>
  <c r="C46" i="61"/>
  <c r="R42" i="61"/>
  <c r="Q42" i="61"/>
  <c r="P42" i="61"/>
  <c r="O42" i="61"/>
  <c r="N42" i="61"/>
  <c r="M42" i="61"/>
  <c r="L42" i="61"/>
  <c r="K42" i="61"/>
  <c r="J42" i="61"/>
  <c r="I42" i="61"/>
  <c r="H42" i="61"/>
  <c r="G42" i="61"/>
  <c r="F42" i="61"/>
  <c r="E42" i="61"/>
  <c r="D42" i="61"/>
  <c r="B42" i="61"/>
  <c r="C41" i="61"/>
  <c r="C40" i="61"/>
  <c r="C39" i="61"/>
  <c r="C37" i="61"/>
  <c r="C36" i="61"/>
  <c r="C35" i="61"/>
  <c r="C34" i="61"/>
  <c r="C33" i="61"/>
  <c r="C31" i="61"/>
  <c r="C30" i="61"/>
  <c r="C29" i="61"/>
  <c r="C28" i="61"/>
  <c r="C27" i="61"/>
  <c r="C26" i="61"/>
  <c r="C25" i="61"/>
  <c r="C24" i="61"/>
  <c r="C23" i="61"/>
  <c r="C22" i="61"/>
  <c r="C20" i="61"/>
  <c r="C19" i="61"/>
  <c r="C18" i="61"/>
  <c r="C17" i="61"/>
  <c r="C16" i="61"/>
  <c r="C15" i="61"/>
  <c r="C14" i="61"/>
  <c r="C13" i="61"/>
  <c r="C12" i="61"/>
  <c r="C11" i="61"/>
  <c r="C10" i="61"/>
  <c r="C9" i="61"/>
  <c r="C8" i="61"/>
  <c r="C7" i="61"/>
  <c r="C42" i="61" s="1"/>
  <c r="C81" i="60"/>
  <c r="C77" i="60"/>
  <c r="C76" i="60"/>
  <c r="C75" i="60"/>
  <c r="C73" i="60"/>
  <c r="C72" i="60"/>
  <c r="C70" i="60"/>
  <c r="C67" i="60"/>
  <c r="C66" i="60"/>
  <c r="C62" i="60"/>
  <c r="C61" i="60"/>
  <c r="C56" i="60"/>
  <c r="C53" i="60"/>
  <c r="C52" i="60"/>
  <c r="C51" i="60"/>
  <c r="C50" i="60"/>
  <c r="C48" i="60"/>
  <c r="C47" i="60"/>
  <c r="C46" i="60"/>
  <c r="R42" i="60"/>
  <c r="Q42" i="60"/>
  <c r="P42" i="60"/>
  <c r="O42" i="60"/>
  <c r="N42" i="60"/>
  <c r="M42" i="60"/>
  <c r="L42" i="60"/>
  <c r="K42" i="60"/>
  <c r="J42" i="60"/>
  <c r="I42" i="60"/>
  <c r="H42" i="60"/>
  <c r="G42" i="60"/>
  <c r="F42" i="60"/>
  <c r="E42" i="60"/>
  <c r="D42" i="60"/>
  <c r="B42" i="60"/>
  <c r="C41" i="60"/>
  <c r="C40" i="60"/>
  <c r="C39" i="60"/>
  <c r="C37" i="60"/>
  <c r="C36" i="60"/>
  <c r="C35" i="60"/>
  <c r="C34" i="60"/>
  <c r="C33" i="60"/>
  <c r="C31" i="60"/>
  <c r="C30" i="60"/>
  <c r="C29" i="60"/>
  <c r="C28" i="60"/>
  <c r="C27" i="60"/>
  <c r="C26" i="60"/>
  <c r="C25" i="60"/>
  <c r="C24" i="60"/>
  <c r="C23" i="60"/>
  <c r="C22" i="60"/>
  <c r="C20" i="60"/>
  <c r="C19" i="60"/>
  <c r="C18" i="60"/>
  <c r="C17" i="60"/>
  <c r="C16" i="60"/>
  <c r="C15" i="60"/>
  <c r="C14" i="60"/>
  <c r="C13" i="60"/>
  <c r="C12" i="60"/>
  <c r="C11" i="60"/>
  <c r="C10" i="60"/>
  <c r="C9" i="60"/>
  <c r="C8" i="60"/>
  <c r="C7" i="60"/>
  <c r="C42" i="60" s="1"/>
  <c r="C81" i="59"/>
  <c r="C77" i="59"/>
  <c r="C76" i="59"/>
  <c r="C75" i="59"/>
  <c r="C73" i="59"/>
  <c r="C72" i="59"/>
  <c r="C70" i="59"/>
  <c r="C67" i="59"/>
  <c r="C66" i="59"/>
  <c r="C62" i="59"/>
  <c r="C61" i="59"/>
  <c r="C56" i="59"/>
  <c r="C53" i="59"/>
  <c r="C52" i="59"/>
  <c r="C51" i="59"/>
  <c r="C50" i="59"/>
  <c r="C48" i="59"/>
  <c r="C47" i="59"/>
  <c r="C46" i="59"/>
  <c r="R42" i="59"/>
  <c r="Q42" i="59"/>
  <c r="P42" i="59"/>
  <c r="O42" i="59"/>
  <c r="N42" i="59"/>
  <c r="M42" i="59"/>
  <c r="L42" i="59"/>
  <c r="K42" i="59"/>
  <c r="J42" i="59"/>
  <c r="I42" i="59"/>
  <c r="H42" i="59"/>
  <c r="G42" i="59"/>
  <c r="F42" i="59"/>
  <c r="E42" i="59"/>
  <c r="D42" i="59"/>
  <c r="B42" i="59"/>
  <c r="C41" i="59"/>
  <c r="C40" i="59"/>
  <c r="C39" i="59"/>
  <c r="C37" i="59"/>
  <c r="C36" i="59"/>
  <c r="C35" i="59"/>
  <c r="C34" i="59"/>
  <c r="C33" i="59"/>
  <c r="C31" i="59"/>
  <c r="C30" i="59"/>
  <c r="C29" i="59"/>
  <c r="C28" i="59"/>
  <c r="C27" i="59"/>
  <c r="C26" i="59"/>
  <c r="C25" i="59"/>
  <c r="C24" i="59"/>
  <c r="C23" i="59"/>
  <c r="C22" i="59"/>
  <c r="C20" i="59"/>
  <c r="C19" i="59"/>
  <c r="C18" i="59"/>
  <c r="C17" i="59"/>
  <c r="C16" i="59"/>
  <c r="C15" i="59"/>
  <c r="C14" i="59"/>
  <c r="C13" i="59"/>
  <c r="C12" i="59"/>
  <c r="C11" i="59"/>
  <c r="C10" i="59"/>
  <c r="C9" i="59"/>
  <c r="C8" i="59"/>
  <c r="C7" i="59"/>
  <c r="C42" i="59" s="1"/>
  <c r="C81" i="58"/>
  <c r="C77" i="58"/>
  <c r="C76" i="58"/>
  <c r="C75" i="58"/>
  <c r="C73" i="58"/>
  <c r="C72" i="58"/>
  <c r="C70" i="58"/>
  <c r="C67" i="58"/>
  <c r="C66" i="58"/>
  <c r="C62" i="58"/>
  <c r="C61" i="58"/>
  <c r="C56" i="58"/>
  <c r="C53" i="58"/>
  <c r="C52" i="58"/>
  <c r="C51" i="58"/>
  <c r="C50" i="58"/>
  <c r="C48" i="58"/>
  <c r="C47" i="58"/>
  <c r="C46" i="58"/>
  <c r="R42" i="58"/>
  <c r="Q42" i="58"/>
  <c r="P42" i="58"/>
  <c r="O42" i="58"/>
  <c r="N42" i="58"/>
  <c r="M42" i="58"/>
  <c r="L42" i="58"/>
  <c r="K42" i="58"/>
  <c r="J42" i="58"/>
  <c r="I42" i="58"/>
  <c r="H42" i="58"/>
  <c r="G42" i="58"/>
  <c r="F42" i="58"/>
  <c r="E42" i="58"/>
  <c r="D42" i="58"/>
  <c r="B42" i="58"/>
  <c r="C41" i="58"/>
  <c r="C40" i="58"/>
  <c r="C39" i="58"/>
  <c r="C37" i="58"/>
  <c r="C36" i="58"/>
  <c r="C35" i="58"/>
  <c r="C34" i="58"/>
  <c r="C33" i="58"/>
  <c r="C31" i="58"/>
  <c r="C30" i="58"/>
  <c r="C29" i="58"/>
  <c r="C28" i="58"/>
  <c r="C27" i="58"/>
  <c r="C26" i="58"/>
  <c r="C25" i="58"/>
  <c r="C24" i="58"/>
  <c r="C23" i="58"/>
  <c r="C22" i="58"/>
  <c r="C20" i="58"/>
  <c r="C19" i="58"/>
  <c r="C18" i="58"/>
  <c r="C17" i="58"/>
  <c r="C16" i="58"/>
  <c r="C15" i="58"/>
  <c r="C14" i="58"/>
  <c r="C13" i="58"/>
  <c r="C12" i="58"/>
  <c r="C11" i="58"/>
  <c r="C10" i="58"/>
  <c r="C9" i="58"/>
  <c r="C8" i="58"/>
  <c r="C7" i="58"/>
  <c r="C42" i="58" s="1"/>
  <c r="C81" i="57"/>
  <c r="C77" i="57"/>
  <c r="C76" i="57"/>
  <c r="C75" i="57"/>
  <c r="C73" i="57"/>
  <c r="C72" i="57"/>
  <c r="C70" i="57"/>
  <c r="C67" i="57"/>
  <c r="C66" i="57"/>
  <c r="C62" i="57"/>
  <c r="C61" i="57"/>
  <c r="C56" i="57"/>
  <c r="C53" i="57"/>
  <c r="C52" i="57"/>
  <c r="C51" i="57"/>
  <c r="C50" i="57"/>
  <c r="C48" i="57"/>
  <c r="C47" i="57"/>
  <c r="C46" i="57"/>
  <c r="R42" i="57"/>
  <c r="Q42" i="57"/>
  <c r="P42" i="57"/>
  <c r="O42" i="57"/>
  <c r="N42" i="57"/>
  <c r="M42" i="57"/>
  <c r="L42" i="57"/>
  <c r="K42" i="57"/>
  <c r="J42" i="57"/>
  <c r="I42" i="57"/>
  <c r="H42" i="57"/>
  <c r="G42" i="57"/>
  <c r="F42" i="57"/>
  <c r="E42" i="57"/>
  <c r="D42" i="57"/>
  <c r="B42" i="57"/>
  <c r="C41" i="57"/>
  <c r="C40" i="57"/>
  <c r="C39" i="57"/>
  <c r="C37" i="57"/>
  <c r="C36" i="57"/>
  <c r="C35" i="57"/>
  <c r="C34" i="57"/>
  <c r="C33" i="57"/>
  <c r="C31" i="57"/>
  <c r="C30" i="57"/>
  <c r="C29" i="57"/>
  <c r="C28" i="57"/>
  <c r="C27" i="57"/>
  <c r="C26" i="57"/>
  <c r="C25" i="57"/>
  <c r="C24" i="57"/>
  <c r="C23" i="57"/>
  <c r="C22" i="57"/>
  <c r="C20" i="57"/>
  <c r="C19" i="57"/>
  <c r="C18" i="57"/>
  <c r="C17" i="57"/>
  <c r="C16" i="57"/>
  <c r="C15" i="57"/>
  <c r="C14" i="57"/>
  <c r="C13" i="57"/>
  <c r="C12" i="57"/>
  <c r="C11" i="57"/>
  <c r="C10" i="57"/>
  <c r="C9" i="57"/>
  <c r="C8" i="57"/>
  <c r="C7" i="57"/>
  <c r="C42" i="57" s="1"/>
  <c r="C81" i="56"/>
  <c r="C77" i="56"/>
  <c r="C76" i="56"/>
  <c r="C75" i="56"/>
  <c r="C73" i="56"/>
  <c r="C72" i="56"/>
  <c r="C70" i="56"/>
  <c r="C67" i="56"/>
  <c r="C66" i="56"/>
  <c r="C62" i="56"/>
  <c r="C61" i="56"/>
  <c r="C56" i="56"/>
  <c r="C53" i="56"/>
  <c r="C52" i="56"/>
  <c r="C51" i="56"/>
  <c r="C50" i="56"/>
  <c r="C48" i="56"/>
  <c r="C47" i="56"/>
  <c r="C46" i="56"/>
  <c r="R42" i="56"/>
  <c r="Q42" i="56"/>
  <c r="P42" i="56"/>
  <c r="O42" i="56"/>
  <c r="N42" i="56"/>
  <c r="M42" i="56"/>
  <c r="L42" i="56"/>
  <c r="K42" i="56"/>
  <c r="J42" i="56"/>
  <c r="I42" i="56"/>
  <c r="H42" i="56"/>
  <c r="G42" i="56"/>
  <c r="F42" i="56"/>
  <c r="E42" i="56"/>
  <c r="D42" i="56"/>
  <c r="B42" i="56"/>
  <c r="C41" i="56"/>
  <c r="C40" i="56"/>
  <c r="C39" i="56"/>
  <c r="C37" i="56"/>
  <c r="C36" i="56"/>
  <c r="C35" i="56"/>
  <c r="C34" i="56"/>
  <c r="C33" i="56"/>
  <c r="C31" i="56"/>
  <c r="C30" i="56"/>
  <c r="C29" i="56"/>
  <c r="C28" i="56"/>
  <c r="C27" i="56"/>
  <c r="C26" i="56"/>
  <c r="C25" i="56"/>
  <c r="C24" i="56"/>
  <c r="C23" i="56"/>
  <c r="C22" i="56"/>
  <c r="C20" i="56"/>
  <c r="C19" i="56"/>
  <c r="C18" i="56"/>
  <c r="C17" i="56"/>
  <c r="C16" i="56"/>
  <c r="C15" i="56"/>
  <c r="C14" i="56"/>
  <c r="C13" i="56"/>
  <c r="C12" i="56"/>
  <c r="C11" i="56"/>
  <c r="C10" i="56"/>
  <c r="C9" i="56"/>
  <c r="C8" i="56"/>
  <c r="C7" i="56"/>
  <c r="C42" i="56" s="1"/>
  <c r="C81" i="55"/>
  <c r="C77" i="55"/>
  <c r="C76" i="55"/>
  <c r="C75" i="55"/>
  <c r="C73" i="55"/>
  <c r="C72" i="55"/>
  <c r="C70" i="55"/>
  <c r="C67" i="55"/>
  <c r="C66" i="55"/>
  <c r="C62" i="55"/>
  <c r="C61" i="55"/>
  <c r="C56" i="55"/>
  <c r="C53" i="55"/>
  <c r="C52" i="55"/>
  <c r="C51" i="55"/>
  <c r="C50" i="55"/>
  <c r="C48" i="55"/>
  <c r="C47" i="55"/>
  <c r="C46" i="55"/>
  <c r="R42" i="55"/>
  <c r="Q42" i="55"/>
  <c r="P42" i="55"/>
  <c r="O42" i="55"/>
  <c r="N42" i="55"/>
  <c r="M42" i="55"/>
  <c r="L42" i="55"/>
  <c r="K42" i="55"/>
  <c r="J42" i="55"/>
  <c r="I42" i="55"/>
  <c r="H42" i="55"/>
  <c r="G42" i="55"/>
  <c r="F42" i="55"/>
  <c r="E42" i="55"/>
  <c r="D42" i="55"/>
  <c r="B42" i="55"/>
  <c r="C41" i="55"/>
  <c r="C40" i="55"/>
  <c r="C39" i="55"/>
  <c r="C37" i="55"/>
  <c r="C36" i="55"/>
  <c r="C35" i="55"/>
  <c r="C34" i="55"/>
  <c r="C33" i="55"/>
  <c r="C31" i="55"/>
  <c r="C30" i="55"/>
  <c r="C29" i="55"/>
  <c r="C28" i="55"/>
  <c r="C27" i="55"/>
  <c r="C26" i="55"/>
  <c r="C25" i="55"/>
  <c r="C24" i="55"/>
  <c r="C23" i="55"/>
  <c r="C22" i="55"/>
  <c r="C20" i="55"/>
  <c r="C19" i="55"/>
  <c r="C18" i="55"/>
  <c r="C17" i="55"/>
  <c r="C16" i="55"/>
  <c r="C15" i="55"/>
  <c r="C14" i="55"/>
  <c r="C13" i="55"/>
  <c r="C12" i="55"/>
  <c r="C11" i="55"/>
  <c r="C10" i="55"/>
  <c r="C9" i="55"/>
  <c r="C8" i="55"/>
  <c r="C42" i="55" s="1"/>
  <c r="C7" i="55"/>
  <c r="C81" i="54"/>
  <c r="C77" i="54"/>
  <c r="C76" i="54"/>
  <c r="C75" i="54"/>
  <c r="C73" i="54"/>
  <c r="C72" i="54"/>
  <c r="C70" i="54"/>
  <c r="C67" i="54"/>
  <c r="C66" i="54"/>
  <c r="C62" i="54"/>
  <c r="C61" i="54"/>
  <c r="C56" i="54"/>
  <c r="C53" i="54"/>
  <c r="C52" i="54"/>
  <c r="C51" i="54"/>
  <c r="C50" i="54"/>
  <c r="C48" i="54"/>
  <c r="C47" i="54"/>
  <c r="C46" i="54"/>
  <c r="R42" i="54"/>
  <c r="Q42" i="54"/>
  <c r="P42" i="54"/>
  <c r="O42" i="54"/>
  <c r="N42" i="54"/>
  <c r="M42" i="54"/>
  <c r="L42" i="54"/>
  <c r="K42" i="54"/>
  <c r="J42" i="54"/>
  <c r="I42" i="54"/>
  <c r="H42" i="54"/>
  <c r="G42" i="54"/>
  <c r="F42" i="54"/>
  <c r="E42" i="54"/>
  <c r="D42" i="54"/>
  <c r="B42" i="54"/>
  <c r="C41" i="54"/>
  <c r="C40" i="54"/>
  <c r="C39" i="54"/>
  <c r="C37" i="54"/>
  <c r="C36" i="54"/>
  <c r="C35" i="54"/>
  <c r="C34" i="54"/>
  <c r="C33" i="54"/>
  <c r="C31" i="54"/>
  <c r="C30" i="54"/>
  <c r="C29" i="54"/>
  <c r="C28" i="54"/>
  <c r="C27" i="54"/>
  <c r="C26" i="54"/>
  <c r="C25" i="54"/>
  <c r="C24" i="54"/>
  <c r="C23" i="54"/>
  <c r="C22" i="54"/>
  <c r="C20" i="54"/>
  <c r="C19" i="54"/>
  <c r="C18" i="54"/>
  <c r="C17" i="54"/>
  <c r="C16" i="54"/>
  <c r="C15" i="54"/>
  <c r="C14" i="54"/>
  <c r="C13" i="54"/>
  <c r="C12" i="54"/>
  <c r="C11" i="54"/>
  <c r="C10" i="54"/>
  <c r="C9" i="54"/>
  <c r="C8" i="54"/>
  <c r="C42" i="54" s="1"/>
  <c r="C7" i="54"/>
  <c r="C81" i="53"/>
  <c r="C77" i="53"/>
  <c r="C76" i="53"/>
  <c r="C75" i="53"/>
  <c r="C73" i="53"/>
  <c r="C72" i="53"/>
  <c r="C70" i="53"/>
  <c r="C67" i="53"/>
  <c r="C66" i="53"/>
  <c r="C62" i="53"/>
  <c r="C61" i="53"/>
  <c r="C56" i="53"/>
  <c r="C53" i="53"/>
  <c r="C52" i="53"/>
  <c r="C51" i="53"/>
  <c r="C50" i="53"/>
  <c r="C48" i="53"/>
  <c r="C47" i="53"/>
  <c r="C46" i="53"/>
  <c r="R42" i="53"/>
  <c r="Q42" i="53"/>
  <c r="P42" i="53"/>
  <c r="O42" i="53"/>
  <c r="N42" i="53"/>
  <c r="M42" i="53"/>
  <c r="L42" i="53"/>
  <c r="K42" i="53"/>
  <c r="J42" i="53"/>
  <c r="I42" i="53"/>
  <c r="H42" i="53"/>
  <c r="G42" i="53"/>
  <c r="F42" i="53"/>
  <c r="E42" i="53"/>
  <c r="D42" i="53"/>
  <c r="B42" i="53"/>
  <c r="C41" i="53"/>
  <c r="C40" i="53"/>
  <c r="C39" i="53"/>
  <c r="C37" i="53"/>
  <c r="C36" i="53"/>
  <c r="C35" i="53"/>
  <c r="C34" i="53"/>
  <c r="C33" i="53"/>
  <c r="C31" i="53"/>
  <c r="C30" i="53"/>
  <c r="C29" i="53"/>
  <c r="C28" i="53"/>
  <c r="C27" i="53"/>
  <c r="C26" i="53"/>
  <c r="C25" i="53"/>
  <c r="C24" i="53"/>
  <c r="C23" i="53"/>
  <c r="C22" i="53"/>
  <c r="C20" i="53"/>
  <c r="C19" i="53"/>
  <c r="C18" i="53"/>
  <c r="C17" i="53"/>
  <c r="C16" i="53"/>
  <c r="C15" i="53"/>
  <c r="C14" i="53"/>
  <c r="C13" i="53"/>
  <c r="C12" i="53"/>
  <c r="C11" i="53"/>
  <c r="C10" i="53"/>
  <c r="C9" i="53"/>
  <c r="C8" i="53"/>
  <c r="C42" i="53" s="1"/>
  <c r="C7" i="53"/>
  <c r="C81" i="52"/>
  <c r="C77" i="52"/>
  <c r="C76" i="52"/>
  <c r="C75" i="52"/>
  <c r="C73" i="52"/>
  <c r="C72" i="52"/>
  <c r="C70" i="52"/>
  <c r="C67" i="52"/>
  <c r="C66" i="52"/>
  <c r="C62" i="52"/>
  <c r="C61" i="52"/>
  <c r="C56" i="52"/>
  <c r="C53" i="52"/>
  <c r="C52" i="52"/>
  <c r="C51" i="52"/>
  <c r="C50" i="52"/>
  <c r="C48" i="52"/>
  <c r="C47" i="52"/>
  <c r="C46" i="52"/>
  <c r="V42" i="52"/>
  <c r="U42" i="52"/>
  <c r="T42" i="52"/>
  <c r="S42" i="52"/>
  <c r="R42" i="52"/>
  <c r="Q42" i="52"/>
  <c r="P42" i="52"/>
  <c r="O42" i="52"/>
  <c r="N42" i="52"/>
  <c r="M42" i="52"/>
  <c r="L42" i="52"/>
  <c r="K42" i="52"/>
  <c r="J42" i="52"/>
  <c r="I42" i="52"/>
  <c r="H42" i="52"/>
  <c r="G42" i="52"/>
  <c r="F42" i="52"/>
  <c r="E42" i="52"/>
  <c r="D42" i="52"/>
  <c r="B42" i="52"/>
  <c r="C41" i="52"/>
  <c r="C40" i="52"/>
  <c r="C39" i="52"/>
  <c r="C37" i="52"/>
  <c r="C36" i="52"/>
  <c r="C35" i="52"/>
  <c r="C34" i="52"/>
  <c r="C33" i="52"/>
  <c r="C31" i="52"/>
  <c r="C30" i="52"/>
  <c r="C29" i="52"/>
  <c r="C28" i="52"/>
  <c r="C27" i="52"/>
  <c r="C26" i="52"/>
  <c r="C25" i="52"/>
  <c r="C24" i="52"/>
  <c r="C23" i="52"/>
  <c r="C22" i="52"/>
  <c r="C20" i="52"/>
  <c r="C19" i="52"/>
  <c r="C18" i="52"/>
  <c r="C17" i="52"/>
  <c r="C16" i="52"/>
  <c r="C15" i="52"/>
  <c r="C14" i="52"/>
  <c r="C13" i="52"/>
  <c r="C12" i="52"/>
  <c r="C11" i="52"/>
  <c r="C10" i="52"/>
  <c r="C9" i="52"/>
  <c r="C8" i="52"/>
  <c r="C7" i="52"/>
  <c r="C42" i="52" s="1"/>
  <c r="C81" i="51"/>
  <c r="C77" i="51"/>
  <c r="C76" i="51"/>
  <c r="C75" i="51"/>
  <c r="C73" i="51"/>
  <c r="C72" i="51"/>
  <c r="C70" i="51"/>
  <c r="C67" i="51"/>
  <c r="C66" i="51"/>
  <c r="C62" i="51"/>
  <c r="C61" i="51"/>
  <c r="C56" i="51"/>
  <c r="C53" i="51"/>
  <c r="C52" i="51"/>
  <c r="C51" i="51"/>
  <c r="C50" i="51"/>
  <c r="C48" i="51"/>
  <c r="C47" i="51"/>
  <c r="C46" i="51"/>
  <c r="R42" i="51"/>
  <c r="Q42" i="51"/>
  <c r="P42" i="51"/>
  <c r="O42" i="51"/>
  <c r="N42" i="51"/>
  <c r="M42" i="51"/>
  <c r="L42" i="51"/>
  <c r="K42" i="51"/>
  <c r="J42" i="51"/>
  <c r="I42" i="51"/>
  <c r="H42" i="51"/>
  <c r="G42" i="51"/>
  <c r="F42" i="51"/>
  <c r="E42" i="51"/>
  <c r="D42" i="51"/>
  <c r="B42" i="51"/>
  <c r="C41" i="51"/>
  <c r="C40" i="51"/>
  <c r="C39" i="51"/>
  <c r="C37" i="51"/>
  <c r="C36" i="51"/>
  <c r="C35" i="51"/>
  <c r="C34" i="51"/>
  <c r="C33" i="51"/>
  <c r="C31" i="51"/>
  <c r="C30" i="51"/>
  <c r="C29" i="51"/>
  <c r="C28" i="51"/>
  <c r="C27" i="51"/>
  <c r="C26" i="51"/>
  <c r="C25" i="51"/>
  <c r="C24" i="51"/>
  <c r="C23" i="51"/>
  <c r="C22" i="51"/>
  <c r="C20" i="51"/>
  <c r="C19" i="51"/>
  <c r="C18" i="51"/>
  <c r="C17" i="51"/>
  <c r="C16" i="51"/>
  <c r="C15" i="51"/>
  <c r="C14" i="51"/>
  <c r="C13" i="51"/>
  <c r="C12" i="51"/>
  <c r="C11" i="51"/>
  <c r="C10" i="51"/>
  <c r="C9" i="51"/>
  <c r="C8" i="51"/>
  <c r="C7" i="51"/>
  <c r="C42" i="51" s="1"/>
  <c r="C81" i="50"/>
  <c r="C77" i="50"/>
  <c r="C76" i="50"/>
  <c r="C75" i="50"/>
  <c r="C73" i="50"/>
  <c r="C72" i="50"/>
  <c r="C70" i="50"/>
  <c r="C67" i="50"/>
  <c r="C66" i="50"/>
  <c r="C62" i="50"/>
  <c r="C61" i="50"/>
  <c r="C56" i="50"/>
  <c r="C53" i="50"/>
  <c r="C52" i="50"/>
  <c r="C51" i="50"/>
  <c r="C50" i="50"/>
  <c r="C48" i="50"/>
  <c r="C47" i="50"/>
  <c r="C46" i="50"/>
  <c r="R42" i="50"/>
  <c r="Q42" i="50"/>
  <c r="P42" i="50"/>
  <c r="O42" i="50"/>
  <c r="N42" i="50"/>
  <c r="M42" i="50"/>
  <c r="L42" i="50"/>
  <c r="K42" i="50"/>
  <c r="J42" i="50"/>
  <c r="I42" i="50"/>
  <c r="H42" i="50"/>
  <c r="G42" i="50"/>
  <c r="F42" i="50"/>
  <c r="E42" i="50"/>
  <c r="D42" i="50"/>
  <c r="B42" i="50"/>
  <c r="C41" i="50"/>
  <c r="C40" i="50"/>
  <c r="C39" i="50"/>
  <c r="C37" i="50"/>
  <c r="C36" i="50"/>
  <c r="C35" i="50"/>
  <c r="C34" i="50"/>
  <c r="C33" i="50"/>
  <c r="C31" i="50"/>
  <c r="C30" i="50"/>
  <c r="C29" i="50"/>
  <c r="C28" i="50"/>
  <c r="C27" i="50"/>
  <c r="C26" i="50"/>
  <c r="C25" i="50"/>
  <c r="C24" i="50"/>
  <c r="C23" i="50"/>
  <c r="C22" i="50"/>
  <c r="C20" i="50"/>
  <c r="C19" i="50"/>
  <c r="C18" i="50"/>
  <c r="C17" i="50"/>
  <c r="C16" i="50"/>
  <c r="C15" i="50"/>
  <c r="C14" i="50"/>
  <c r="C13" i="50"/>
  <c r="C12" i="50"/>
  <c r="C11" i="50"/>
  <c r="C10" i="50"/>
  <c r="C9" i="50"/>
  <c r="C8" i="50"/>
  <c r="C7" i="50"/>
  <c r="C42" i="50" s="1"/>
  <c r="C81" i="49"/>
  <c r="C77" i="49"/>
  <c r="C76" i="49"/>
  <c r="C75" i="49"/>
  <c r="C73" i="49"/>
  <c r="C72" i="49"/>
  <c r="C70" i="49"/>
  <c r="C67" i="49"/>
  <c r="C66" i="49"/>
  <c r="C62" i="49"/>
  <c r="C61" i="49"/>
  <c r="C56" i="49"/>
  <c r="C53" i="49"/>
  <c r="C52" i="49"/>
  <c r="C51" i="49"/>
  <c r="C50" i="49"/>
  <c r="C48" i="49"/>
  <c r="C47" i="49"/>
  <c r="C46" i="49"/>
  <c r="R42" i="49"/>
  <c r="Q42" i="49"/>
  <c r="P42" i="49"/>
  <c r="O42" i="49"/>
  <c r="N42" i="49"/>
  <c r="M42" i="49"/>
  <c r="L42" i="49"/>
  <c r="K42" i="49"/>
  <c r="J42" i="49"/>
  <c r="I42" i="49"/>
  <c r="H42" i="49"/>
  <c r="G42" i="49"/>
  <c r="F42" i="49"/>
  <c r="E42" i="49"/>
  <c r="D42" i="49"/>
  <c r="B42" i="49"/>
  <c r="C41" i="49"/>
  <c r="C40" i="49"/>
  <c r="C39" i="49"/>
  <c r="C37" i="49"/>
  <c r="C36" i="49"/>
  <c r="C35" i="49"/>
  <c r="C34" i="49"/>
  <c r="C33" i="49"/>
  <c r="C31" i="49"/>
  <c r="C30" i="49"/>
  <c r="C29" i="49"/>
  <c r="C28" i="49"/>
  <c r="C27" i="49"/>
  <c r="C26" i="49"/>
  <c r="C25" i="49"/>
  <c r="C24" i="49"/>
  <c r="C23" i="49"/>
  <c r="C22" i="49"/>
  <c r="C20" i="49"/>
  <c r="C19" i="49"/>
  <c r="C18" i="49"/>
  <c r="C17" i="49"/>
  <c r="C16" i="49"/>
  <c r="C15" i="49"/>
  <c r="C14" i="49"/>
  <c r="C13" i="49"/>
  <c r="C12" i="49"/>
  <c r="C11" i="49"/>
  <c r="C10" i="49"/>
  <c r="C9" i="49"/>
  <c r="C8" i="49"/>
  <c r="C7" i="49"/>
  <c r="C42" i="49" s="1"/>
  <c r="C81" i="48"/>
  <c r="C77" i="48"/>
  <c r="C76" i="48"/>
  <c r="C75" i="48"/>
  <c r="C73" i="48"/>
  <c r="C72" i="48"/>
  <c r="C70" i="48"/>
  <c r="C67" i="48"/>
  <c r="C66" i="48"/>
  <c r="C62" i="48"/>
  <c r="C61" i="48"/>
  <c r="C56" i="48"/>
  <c r="C53" i="48"/>
  <c r="C52" i="48"/>
  <c r="C51" i="48"/>
  <c r="C50" i="48"/>
  <c r="C48" i="48"/>
  <c r="C47" i="48"/>
  <c r="C46" i="48"/>
  <c r="R42" i="48"/>
  <c r="Q42" i="48"/>
  <c r="P42" i="48"/>
  <c r="O42" i="48"/>
  <c r="N42" i="48"/>
  <c r="M42" i="48"/>
  <c r="L42" i="48"/>
  <c r="K42" i="48"/>
  <c r="J42" i="48"/>
  <c r="I42" i="48"/>
  <c r="H42" i="48"/>
  <c r="G42" i="48"/>
  <c r="F42" i="48"/>
  <c r="E42" i="48"/>
  <c r="D42" i="48"/>
  <c r="B42" i="48"/>
  <c r="C41" i="48"/>
  <c r="C40" i="48"/>
  <c r="C39" i="48"/>
  <c r="C37" i="48"/>
  <c r="C36" i="48"/>
  <c r="C35" i="48"/>
  <c r="C34" i="48"/>
  <c r="C33" i="48"/>
  <c r="C31" i="48"/>
  <c r="C30" i="48"/>
  <c r="C29" i="48"/>
  <c r="C28" i="48"/>
  <c r="C27" i="48"/>
  <c r="C26" i="48"/>
  <c r="C25" i="48"/>
  <c r="C24" i="48"/>
  <c r="C23" i="48"/>
  <c r="C22" i="48"/>
  <c r="C20" i="48"/>
  <c r="C19" i="48"/>
  <c r="C18" i="48"/>
  <c r="C17" i="48"/>
  <c r="C16" i="48"/>
  <c r="C15" i="48"/>
  <c r="C14" i="48"/>
  <c r="C13" i="48"/>
  <c r="C12" i="48"/>
  <c r="C11" i="48"/>
  <c r="C10" i="48"/>
  <c r="C9" i="48"/>
  <c r="C8" i="48"/>
  <c r="C7" i="48"/>
  <c r="C42" i="48" s="1"/>
  <c r="C81" i="47"/>
  <c r="C77" i="47"/>
  <c r="C76" i="47"/>
  <c r="C75" i="47"/>
  <c r="C73" i="47"/>
  <c r="C72" i="47"/>
  <c r="C70" i="47"/>
  <c r="C67" i="47"/>
  <c r="C66" i="47"/>
  <c r="C62" i="47"/>
  <c r="C61" i="47"/>
  <c r="C56" i="47"/>
  <c r="C53" i="47"/>
  <c r="C52" i="47"/>
  <c r="C51" i="47"/>
  <c r="C50" i="47"/>
  <c r="C48" i="47"/>
  <c r="C47" i="47"/>
  <c r="C46" i="47"/>
  <c r="R42" i="47"/>
  <c r="Q42" i="47"/>
  <c r="P42" i="47"/>
  <c r="O42" i="47"/>
  <c r="N42" i="47"/>
  <c r="M42" i="47"/>
  <c r="L42" i="47"/>
  <c r="K42" i="47"/>
  <c r="J42" i="47"/>
  <c r="I42" i="47"/>
  <c r="H42" i="47"/>
  <c r="G42" i="47"/>
  <c r="F42" i="47"/>
  <c r="E42" i="47"/>
  <c r="D42" i="47"/>
  <c r="B42" i="47"/>
  <c r="C41" i="47"/>
  <c r="C40" i="47"/>
  <c r="C39" i="47"/>
  <c r="C37" i="47"/>
  <c r="C36" i="47"/>
  <c r="C35" i="47"/>
  <c r="C34" i="47"/>
  <c r="C33" i="47"/>
  <c r="C31" i="47"/>
  <c r="C30" i="47"/>
  <c r="C29" i="47"/>
  <c r="C28" i="47"/>
  <c r="C27" i="47"/>
  <c r="C26" i="47"/>
  <c r="C25" i="47"/>
  <c r="C24" i="47"/>
  <c r="C23" i="47"/>
  <c r="C22" i="47"/>
  <c r="C20" i="47"/>
  <c r="C19" i="47"/>
  <c r="C18" i="47"/>
  <c r="C17" i="47"/>
  <c r="C16" i="47"/>
  <c r="C15" i="47"/>
  <c r="C14" i="47"/>
  <c r="C13" i="47"/>
  <c r="C12" i="47"/>
  <c r="C11" i="47"/>
  <c r="C10" i="47"/>
  <c r="C9" i="47"/>
  <c r="C8" i="47"/>
  <c r="C7" i="47"/>
  <c r="C42" i="47" s="1"/>
  <c r="C81" i="46"/>
  <c r="C77" i="46"/>
  <c r="C76" i="46"/>
  <c r="C75" i="46"/>
  <c r="C73" i="46"/>
  <c r="C72" i="46"/>
  <c r="C70" i="46"/>
  <c r="C67" i="46"/>
  <c r="C66" i="46"/>
  <c r="C62" i="46"/>
  <c r="C61" i="46"/>
  <c r="C56" i="46"/>
  <c r="C53" i="46"/>
  <c r="C52" i="46"/>
  <c r="C51" i="46"/>
  <c r="C50" i="46"/>
  <c r="C48" i="46"/>
  <c r="C47" i="46"/>
  <c r="C46" i="46"/>
  <c r="R42" i="46"/>
  <c r="Q42" i="46"/>
  <c r="P42" i="46"/>
  <c r="O42" i="46"/>
  <c r="N42" i="46"/>
  <c r="M42" i="46"/>
  <c r="L42" i="46"/>
  <c r="K42" i="46"/>
  <c r="J42" i="46"/>
  <c r="I42" i="46"/>
  <c r="H42" i="46"/>
  <c r="G42" i="46"/>
  <c r="F42" i="46"/>
  <c r="E42" i="46"/>
  <c r="D42" i="46"/>
  <c r="B42" i="46"/>
  <c r="C41" i="46"/>
  <c r="C40" i="46"/>
  <c r="C39" i="46"/>
  <c r="C37" i="46"/>
  <c r="C36" i="46"/>
  <c r="C35" i="46"/>
  <c r="C34" i="46"/>
  <c r="C33" i="46"/>
  <c r="C31" i="46"/>
  <c r="C30" i="46"/>
  <c r="C29" i="46"/>
  <c r="C28" i="46"/>
  <c r="C27" i="46"/>
  <c r="C26" i="46"/>
  <c r="C25" i="46"/>
  <c r="C24" i="46"/>
  <c r="C23" i="46"/>
  <c r="C22" i="46"/>
  <c r="C20" i="46"/>
  <c r="C19" i="46"/>
  <c r="C18" i="46"/>
  <c r="C17" i="46"/>
  <c r="C16" i="46"/>
  <c r="C15" i="46"/>
  <c r="C14" i="46"/>
  <c r="C13" i="46"/>
  <c r="C12" i="46"/>
  <c r="C11" i="46"/>
  <c r="C10" i="46"/>
  <c r="C9" i="46"/>
  <c r="C8" i="46"/>
  <c r="C42" i="46" s="1"/>
  <c r="C7" i="46"/>
  <c r="C81" i="45"/>
  <c r="C77" i="45"/>
  <c r="C76" i="45"/>
  <c r="C75" i="45"/>
  <c r="C73" i="45"/>
  <c r="C72" i="45"/>
  <c r="C70" i="45"/>
  <c r="C67" i="45"/>
  <c r="C66" i="45"/>
  <c r="C62" i="45"/>
  <c r="C61" i="45"/>
  <c r="C56" i="45"/>
  <c r="C53" i="45"/>
  <c r="C52" i="45"/>
  <c r="C51" i="45"/>
  <c r="C50" i="45"/>
  <c r="C48" i="45"/>
  <c r="C47" i="45"/>
  <c r="C46" i="45"/>
  <c r="R42" i="45"/>
  <c r="Q42" i="45"/>
  <c r="P42" i="45"/>
  <c r="O42" i="45"/>
  <c r="N42" i="45"/>
  <c r="M42" i="45"/>
  <c r="L42" i="45"/>
  <c r="K42" i="45"/>
  <c r="J42" i="45"/>
  <c r="I42" i="45"/>
  <c r="H42" i="45"/>
  <c r="G42" i="45"/>
  <c r="F42" i="45"/>
  <c r="E42" i="45"/>
  <c r="D42" i="45"/>
  <c r="B42" i="45"/>
  <c r="C41" i="45"/>
  <c r="C40" i="45"/>
  <c r="C39" i="45"/>
  <c r="C37" i="45"/>
  <c r="C36" i="45"/>
  <c r="C35" i="45"/>
  <c r="C34" i="45"/>
  <c r="C33" i="45"/>
  <c r="C31" i="45"/>
  <c r="C30" i="45"/>
  <c r="C29" i="45"/>
  <c r="C28" i="45"/>
  <c r="C27" i="45"/>
  <c r="C26" i="45"/>
  <c r="C25" i="45"/>
  <c r="C24" i="45"/>
  <c r="C23" i="45"/>
  <c r="C22" i="45"/>
  <c r="C20" i="45"/>
  <c r="C19" i="45"/>
  <c r="C18" i="45"/>
  <c r="C17" i="45"/>
  <c r="C16" i="45"/>
  <c r="C15" i="45"/>
  <c r="C14" i="45"/>
  <c r="C13" i="45"/>
  <c r="C12" i="45"/>
  <c r="C11" i="45"/>
  <c r="C10" i="45"/>
  <c r="C9" i="45"/>
  <c r="C8" i="45"/>
  <c r="C42" i="45" s="1"/>
  <c r="C7" i="45"/>
  <c r="C81" i="44"/>
  <c r="C77" i="44"/>
  <c r="C76" i="44"/>
  <c r="C75" i="44"/>
  <c r="C73" i="44"/>
  <c r="C72" i="44"/>
  <c r="C70" i="44"/>
  <c r="C67" i="44"/>
  <c r="C66" i="44"/>
  <c r="C62" i="44"/>
  <c r="C61" i="44"/>
  <c r="C56" i="44"/>
  <c r="C53" i="44"/>
  <c r="C52" i="44"/>
  <c r="C51" i="44"/>
  <c r="C50" i="44"/>
  <c r="C48" i="44"/>
  <c r="C47" i="44"/>
  <c r="C46" i="44"/>
  <c r="R42" i="44"/>
  <c r="Q42" i="44"/>
  <c r="P42" i="44"/>
  <c r="O42" i="44"/>
  <c r="N42" i="44"/>
  <c r="M42" i="44"/>
  <c r="L42" i="44"/>
  <c r="K42" i="44"/>
  <c r="J42" i="44"/>
  <c r="I42" i="44"/>
  <c r="H42" i="44"/>
  <c r="G42" i="44"/>
  <c r="F42" i="44"/>
  <c r="E42" i="44"/>
  <c r="D42" i="44"/>
  <c r="B42" i="44"/>
  <c r="C41" i="44"/>
  <c r="C40" i="44"/>
  <c r="C39" i="44"/>
  <c r="C37" i="44"/>
  <c r="C36" i="44"/>
  <c r="C35" i="44"/>
  <c r="C34" i="44"/>
  <c r="C33" i="44"/>
  <c r="C31" i="44"/>
  <c r="C30" i="44"/>
  <c r="C29" i="44"/>
  <c r="C28" i="44"/>
  <c r="C27" i="44"/>
  <c r="C26" i="44"/>
  <c r="C25" i="44"/>
  <c r="C24" i="44"/>
  <c r="C23" i="44"/>
  <c r="C22" i="44"/>
  <c r="C20" i="44"/>
  <c r="C19" i="44"/>
  <c r="C18" i="44"/>
  <c r="C17" i="44"/>
  <c r="C16" i="44"/>
  <c r="C15" i="44"/>
  <c r="C14" i="44"/>
  <c r="C13" i="44"/>
  <c r="C12" i="44"/>
  <c r="C11" i="44"/>
  <c r="C10" i="44"/>
  <c r="C9" i="44"/>
  <c r="C8" i="44"/>
  <c r="C42" i="44" s="1"/>
  <c r="C7" i="44"/>
  <c r="C81" i="43"/>
  <c r="C77" i="43"/>
  <c r="C76" i="43"/>
  <c r="C75" i="43"/>
  <c r="C73" i="43"/>
  <c r="C72" i="43"/>
  <c r="C70" i="43"/>
  <c r="C67" i="43"/>
  <c r="C66" i="43"/>
  <c r="C62" i="43"/>
  <c r="C61" i="43"/>
  <c r="C56" i="43"/>
  <c r="C53" i="43"/>
  <c r="C52" i="43"/>
  <c r="C51" i="43"/>
  <c r="C50" i="43"/>
  <c r="C48" i="43"/>
  <c r="C47" i="43"/>
  <c r="C46" i="43"/>
  <c r="T42" i="43"/>
  <c r="S42" i="43"/>
  <c r="R42" i="43"/>
  <c r="Q42" i="43"/>
  <c r="P42" i="43"/>
  <c r="O42" i="43"/>
  <c r="N42" i="43"/>
  <c r="M42" i="43"/>
  <c r="L42" i="43"/>
  <c r="K42" i="43"/>
  <c r="J42" i="43"/>
  <c r="I42" i="43"/>
  <c r="H42" i="43"/>
  <c r="G42" i="43"/>
  <c r="F42" i="43"/>
  <c r="E42" i="43"/>
  <c r="D42" i="43"/>
  <c r="B42" i="43"/>
  <c r="C41" i="43"/>
  <c r="C40" i="43"/>
  <c r="C39" i="43"/>
  <c r="C37" i="43"/>
  <c r="C36" i="43"/>
  <c r="C35" i="43"/>
  <c r="C34" i="43"/>
  <c r="C33" i="43"/>
  <c r="C31" i="43"/>
  <c r="C30" i="43"/>
  <c r="C29" i="43"/>
  <c r="C28" i="43"/>
  <c r="C27" i="43"/>
  <c r="C26" i="43"/>
  <c r="C25" i="43"/>
  <c r="C24" i="43"/>
  <c r="C23" i="43"/>
  <c r="C22" i="43"/>
  <c r="C20" i="43"/>
  <c r="C19" i="43"/>
  <c r="C18" i="43"/>
  <c r="C17" i="43"/>
  <c r="C16" i="43"/>
  <c r="C15" i="43"/>
  <c r="C14" i="43"/>
  <c r="C13" i="43"/>
  <c r="C12" i="43"/>
  <c r="C11" i="43"/>
  <c r="C10" i="43"/>
  <c r="C9" i="43"/>
  <c r="C8" i="43"/>
  <c r="C7" i="43"/>
  <c r="C42" i="43" s="1"/>
  <c r="C81" i="42"/>
  <c r="C77" i="42"/>
  <c r="C76" i="42"/>
  <c r="C75" i="42"/>
  <c r="C73" i="42"/>
  <c r="C72" i="42"/>
  <c r="C70" i="42"/>
  <c r="C67" i="42"/>
  <c r="C66" i="42"/>
  <c r="C62" i="42"/>
  <c r="C61" i="42"/>
  <c r="C56" i="42"/>
  <c r="C53" i="42"/>
  <c r="C52" i="42"/>
  <c r="C51" i="42"/>
  <c r="C50" i="42"/>
  <c r="C48" i="42"/>
  <c r="C47" i="42"/>
  <c r="C46" i="42"/>
  <c r="R42" i="42"/>
  <c r="Q42" i="42"/>
  <c r="P42" i="42"/>
  <c r="O42" i="42"/>
  <c r="N42" i="42"/>
  <c r="M42" i="42"/>
  <c r="L42" i="42"/>
  <c r="K42" i="42"/>
  <c r="J42" i="42"/>
  <c r="I42" i="42"/>
  <c r="H42" i="42"/>
  <c r="G42" i="42"/>
  <c r="F42" i="42"/>
  <c r="E42" i="42"/>
  <c r="D42" i="42"/>
  <c r="B42" i="42"/>
  <c r="C41" i="42"/>
  <c r="C40" i="42"/>
  <c r="C39" i="42"/>
  <c r="C37" i="42"/>
  <c r="C36" i="42"/>
  <c r="C35" i="42"/>
  <c r="C34" i="42"/>
  <c r="C33" i="42"/>
  <c r="C31" i="42"/>
  <c r="C30" i="42"/>
  <c r="C29" i="42"/>
  <c r="C28" i="42"/>
  <c r="C27" i="42"/>
  <c r="C26" i="42"/>
  <c r="C25" i="42"/>
  <c r="C24" i="42"/>
  <c r="C23" i="42"/>
  <c r="C22" i="42"/>
  <c r="C20" i="42"/>
  <c r="C19" i="42"/>
  <c r="C18" i="42"/>
  <c r="C17" i="42"/>
  <c r="C16" i="42"/>
  <c r="C15" i="42"/>
  <c r="C14" i="42"/>
  <c r="C13" i="42"/>
  <c r="C12" i="42"/>
  <c r="C11" i="42"/>
  <c r="C10" i="42"/>
  <c r="C9" i="42"/>
  <c r="C8" i="42"/>
  <c r="C7" i="42"/>
  <c r="C42" i="42" s="1"/>
  <c r="C81" i="41"/>
  <c r="C77" i="41"/>
  <c r="C76" i="41"/>
  <c r="C75" i="41"/>
  <c r="C73" i="41"/>
  <c r="C72" i="41"/>
  <c r="C70" i="41"/>
  <c r="C67" i="41"/>
  <c r="C66" i="41"/>
  <c r="C62" i="41"/>
  <c r="C61" i="41"/>
  <c r="C56" i="41"/>
  <c r="C53" i="41"/>
  <c r="C52" i="41"/>
  <c r="C51" i="41"/>
  <c r="C50" i="41"/>
  <c r="C48" i="41"/>
  <c r="C47" i="41"/>
  <c r="C46" i="41"/>
  <c r="T42" i="41"/>
  <c r="S42" i="41"/>
  <c r="R42" i="41"/>
  <c r="Q42" i="41"/>
  <c r="P42" i="41"/>
  <c r="O42" i="41"/>
  <c r="N42" i="41"/>
  <c r="M42" i="41"/>
  <c r="L42" i="41"/>
  <c r="K42" i="41"/>
  <c r="J42" i="41"/>
  <c r="I42" i="41"/>
  <c r="H42" i="41"/>
  <c r="G42" i="41"/>
  <c r="F42" i="41"/>
  <c r="E42" i="41"/>
  <c r="D42" i="41"/>
  <c r="B42" i="41"/>
  <c r="C41" i="41"/>
  <c r="C40" i="41"/>
  <c r="C39" i="41"/>
  <c r="C37" i="41"/>
  <c r="C36" i="41"/>
  <c r="C35" i="41"/>
  <c r="C34" i="41"/>
  <c r="C33" i="41"/>
  <c r="C31" i="41"/>
  <c r="C30" i="41"/>
  <c r="C29" i="41"/>
  <c r="C28" i="41"/>
  <c r="C27" i="41"/>
  <c r="C26" i="41"/>
  <c r="C25" i="41"/>
  <c r="C24" i="41"/>
  <c r="C23" i="41"/>
  <c r="C22" i="41"/>
  <c r="C20" i="41"/>
  <c r="C19" i="41"/>
  <c r="C18" i="41"/>
  <c r="C17" i="41"/>
  <c r="C16" i="41"/>
  <c r="C15" i="41"/>
  <c r="C14" i="41"/>
  <c r="C13" i="41"/>
  <c r="C12" i="41"/>
  <c r="C11" i="41"/>
  <c r="C10" i="41"/>
  <c r="C9" i="41"/>
  <c r="C8" i="41"/>
  <c r="C7" i="41"/>
  <c r="C42" i="41" s="1"/>
  <c r="C81" i="40"/>
  <c r="C77" i="40"/>
  <c r="C76" i="40"/>
  <c r="C75" i="40"/>
  <c r="C73" i="40"/>
  <c r="C72" i="40"/>
  <c r="C70" i="40"/>
  <c r="C67" i="40"/>
  <c r="C66" i="40"/>
  <c r="C62" i="40"/>
  <c r="C61" i="40"/>
  <c r="C56" i="40"/>
  <c r="C53" i="40"/>
  <c r="C52" i="40"/>
  <c r="C51" i="40"/>
  <c r="C50" i="40"/>
  <c r="C48" i="40"/>
  <c r="C47" i="40"/>
  <c r="C46" i="40"/>
  <c r="R42" i="40"/>
  <c r="Q42" i="40"/>
  <c r="P42" i="40"/>
  <c r="O42" i="40"/>
  <c r="N42" i="40"/>
  <c r="M42" i="40"/>
  <c r="L42" i="40"/>
  <c r="K42" i="40"/>
  <c r="J42" i="40"/>
  <c r="I42" i="40"/>
  <c r="H42" i="40"/>
  <c r="G42" i="40"/>
  <c r="F42" i="40"/>
  <c r="E42" i="40"/>
  <c r="D42" i="40"/>
  <c r="B42" i="40"/>
  <c r="C41" i="40"/>
  <c r="C40" i="40"/>
  <c r="C39" i="40"/>
  <c r="C37" i="40"/>
  <c r="C36" i="40"/>
  <c r="C35" i="40"/>
  <c r="C34" i="40"/>
  <c r="C33" i="40"/>
  <c r="C31" i="40"/>
  <c r="C30" i="40"/>
  <c r="C29" i="40"/>
  <c r="C28" i="40"/>
  <c r="C27" i="40"/>
  <c r="C26" i="40"/>
  <c r="C25" i="40"/>
  <c r="C24" i="40"/>
  <c r="C23" i="40"/>
  <c r="C22" i="40"/>
  <c r="C20" i="40"/>
  <c r="C19" i="40"/>
  <c r="C18" i="40"/>
  <c r="C17" i="40"/>
  <c r="C16" i="40"/>
  <c r="C15" i="40"/>
  <c r="C14" i="40"/>
  <c r="C13" i="40"/>
  <c r="C12" i="40"/>
  <c r="C11" i="40"/>
  <c r="C10" i="40"/>
  <c r="C9" i="40"/>
  <c r="C8" i="40"/>
  <c r="C7" i="40"/>
  <c r="C42" i="40" s="1"/>
  <c r="C81" i="39"/>
  <c r="C77" i="39"/>
  <c r="C76" i="39"/>
  <c r="C75" i="39"/>
  <c r="C73" i="39"/>
  <c r="C72" i="39"/>
  <c r="C70" i="39"/>
  <c r="C67" i="39"/>
  <c r="C66" i="39"/>
  <c r="C62" i="39"/>
  <c r="C61" i="39"/>
  <c r="C56" i="39"/>
  <c r="C53" i="39"/>
  <c r="C52" i="39"/>
  <c r="C51" i="39"/>
  <c r="C50" i="39"/>
  <c r="C48" i="39"/>
  <c r="C47" i="39"/>
  <c r="C46" i="39"/>
  <c r="R42" i="39"/>
  <c r="Q42" i="39"/>
  <c r="P42" i="39"/>
  <c r="O42" i="39"/>
  <c r="N42" i="39"/>
  <c r="M42" i="39"/>
  <c r="L42" i="39"/>
  <c r="K42" i="39"/>
  <c r="J42" i="39"/>
  <c r="I42" i="39"/>
  <c r="H42" i="39"/>
  <c r="G42" i="39"/>
  <c r="F42" i="39"/>
  <c r="E42" i="39"/>
  <c r="D42" i="39"/>
  <c r="B42" i="39"/>
  <c r="C41" i="39"/>
  <c r="C40" i="39"/>
  <c r="C39" i="39"/>
  <c r="C37" i="39"/>
  <c r="C36" i="39"/>
  <c r="C35" i="39"/>
  <c r="C34" i="39"/>
  <c r="C33" i="39"/>
  <c r="C31" i="39"/>
  <c r="C30" i="39"/>
  <c r="C29" i="39"/>
  <c r="C28" i="39"/>
  <c r="C27" i="39"/>
  <c r="C26" i="39"/>
  <c r="C25" i="39"/>
  <c r="C24" i="39"/>
  <c r="C23" i="39"/>
  <c r="C22" i="39"/>
  <c r="C20" i="39"/>
  <c r="C19" i="39"/>
  <c r="C18" i="39"/>
  <c r="C17" i="39"/>
  <c r="C16" i="39"/>
  <c r="C15" i="39"/>
  <c r="C14" i="39"/>
  <c r="C13" i="39"/>
  <c r="C12" i="39"/>
  <c r="C11" i="39"/>
  <c r="C10" i="39"/>
  <c r="C9" i="39"/>
  <c r="C8" i="39"/>
  <c r="C7" i="39"/>
  <c r="C42" i="39" s="1"/>
  <c r="C81" i="38"/>
  <c r="C77" i="38"/>
  <c r="C76" i="38"/>
  <c r="C75" i="38"/>
  <c r="C73" i="38"/>
  <c r="C72" i="38"/>
  <c r="C70" i="38"/>
  <c r="C67" i="38"/>
  <c r="C66" i="38"/>
  <c r="C62" i="38"/>
  <c r="C61" i="38"/>
  <c r="C56" i="38"/>
  <c r="C53" i="38"/>
  <c r="C52" i="38"/>
  <c r="C51" i="38"/>
  <c r="C50" i="38"/>
  <c r="C48" i="38"/>
  <c r="C47" i="38"/>
  <c r="C46" i="38"/>
  <c r="R42" i="38"/>
  <c r="Q42" i="38"/>
  <c r="P42" i="38"/>
  <c r="O42" i="38"/>
  <c r="N42" i="38"/>
  <c r="M42" i="38"/>
  <c r="L42" i="38"/>
  <c r="K42" i="38"/>
  <c r="J42" i="38"/>
  <c r="I42" i="38"/>
  <c r="H42" i="38"/>
  <c r="G42" i="38"/>
  <c r="F42" i="38"/>
  <c r="E42" i="38"/>
  <c r="D42" i="38"/>
  <c r="B42" i="38"/>
  <c r="C41" i="38"/>
  <c r="C40" i="38"/>
  <c r="C39" i="38"/>
  <c r="C37" i="38"/>
  <c r="C36" i="38"/>
  <c r="C35" i="38"/>
  <c r="C34" i="38"/>
  <c r="C33" i="38"/>
  <c r="C31" i="38"/>
  <c r="C30" i="38"/>
  <c r="C29" i="38"/>
  <c r="C28" i="38"/>
  <c r="C27" i="38"/>
  <c r="C26" i="38"/>
  <c r="C25" i="38"/>
  <c r="C24" i="38"/>
  <c r="C23" i="38"/>
  <c r="C22" i="38"/>
  <c r="C20" i="38"/>
  <c r="C19" i="38"/>
  <c r="C18" i="38"/>
  <c r="C17" i="38"/>
  <c r="C16" i="38"/>
  <c r="C15" i="38"/>
  <c r="C14" i="38"/>
  <c r="C13" i="38"/>
  <c r="C12" i="38"/>
  <c r="C11" i="38"/>
  <c r="C10" i="38"/>
  <c r="C9" i="38"/>
  <c r="C8" i="38"/>
  <c r="C7" i="38"/>
  <c r="C42" i="38" s="1"/>
  <c r="C81" i="37"/>
  <c r="C77" i="37"/>
  <c r="C76" i="37"/>
  <c r="C75" i="37"/>
  <c r="C73" i="37"/>
  <c r="C72" i="37"/>
  <c r="C70" i="37"/>
  <c r="C67" i="37"/>
  <c r="C66" i="37"/>
  <c r="C62" i="37"/>
  <c r="C61" i="37"/>
  <c r="C56" i="37"/>
  <c r="C53" i="37"/>
  <c r="C52" i="37"/>
  <c r="C51" i="37"/>
  <c r="C50" i="37"/>
  <c r="C48" i="37"/>
  <c r="C47" i="37"/>
  <c r="C46" i="37"/>
  <c r="R42" i="37"/>
  <c r="Q42" i="37"/>
  <c r="P42" i="37"/>
  <c r="O42" i="37"/>
  <c r="N42" i="37"/>
  <c r="M42" i="37"/>
  <c r="L42" i="37"/>
  <c r="K42" i="37"/>
  <c r="J42" i="37"/>
  <c r="I42" i="37"/>
  <c r="H42" i="37"/>
  <c r="G42" i="37"/>
  <c r="F42" i="37"/>
  <c r="E42" i="37"/>
  <c r="D42" i="37"/>
  <c r="B42" i="37"/>
  <c r="C41" i="37"/>
  <c r="C40" i="37"/>
  <c r="C39" i="37"/>
  <c r="C37" i="37"/>
  <c r="C36" i="37"/>
  <c r="C35" i="37"/>
  <c r="C34" i="37"/>
  <c r="C33" i="37"/>
  <c r="C31" i="37"/>
  <c r="C30" i="37"/>
  <c r="C29" i="37"/>
  <c r="C28" i="37"/>
  <c r="C27" i="37"/>
  <c r="C26" i="37"/>
  <c r="C25" i="37"/>
  <c r="C24" i="37"/>
  <c r="C23" i="37"/>
  <c r="C22" i="37"/>
  <c r="C20" i="37"/>
  <c r="C19" i="37"/>
  <c r="C18" i="37"/>
  <c r="C17" i="37"/>
  <c r="C16" i="37"/>
  <c r="C15" i="37"/>
  <c r="C14" i="37"/>
  <c r="C13" i="37"/>
  <c r="C12" i="37"/>
  <c r="C11" i="37"/>
  <c r="C10" i="37"/>
  <c r="C9" i="37"/>
  <c r="C8" i="37"/>
  <c r="C7" i="37"/>
  <c r="C42" i="37" s="1"/>
  <c r="C81" i="36"/>
  <c r="C77" i="36"/>
  <c r="C76" i="36"/>
  <c r="C75" i="36"/>
  <c r="C73" i="36"/>
  <c r="C72" i="36"/>
  <c r="C70" i="36"/>
  <c r="C67" i="36"/>
  <c r="C66" i="36"/>
  <c r="C62" i="36"/>
  <c r="C61" i="36"/>
  <c r="C56" i="36"/>
  <c r="C53" i="36"/>
  <c r="C52" i="36"/>
  <c r="C51" i="36"/>
  <c r="C50" i="36"/>
  <c r="C48" i="36"/>
  <c r="C47" i="36"/>
  <c r="C46" i="36"/>
  <c r="R42" i="36"/>
  <c r="Q42" i="36"/>
  <c r="P42" i="36"/>
  <c r="O42" i="36"/>
  <c r="N42" i="36"/>
  <c r="M42" i="36"/>
  <c r="L42" i="36"/>
  <c r="K42" i="36"/>
  <c r="J42" i="36"/>
  <c r="I42" i="36"/>
  <c r="H42" i="36"/>
  <c r="G42" i="36"/>
  <c r="F42" i="36"/>
  <c r="E42" i="36"/>
  <c r="D42" i="36"/>
  <c r="B42" i="36"/>
  <c r="C41" i="36"/>
  <c r="C40" i="36"/>
  <c r="C39" i="36"/>
  <c r="C37" i="36"/>
  <c r="C36" i="36"/>
  <c r="C35" i="36"/>
  <c r="C34" i="36"/>
  <c r="C33" i="36"/>
  <c r="C31" i="36"/>
  <c r="C30" i="36"/>
  <c r="C29" i="36"/>
  <c r="C28" i="36"/>
  <c r="C27" i="36"/>
  <c r="C26" i="36"/>
  <c r="C25" i="36"/>
  <c r="C24" i="36"/>
  <c r="C23" i="36"/>
  <c r="C22" i="36"/>
  <c r="C20" i="36"/>
  <c r="C19" i="36"/>
  <c r="C18" i="36"/>
  <c r="C17" i="36"/>
  <c r="C16" i="36"/>
  <c r="C15" i="36"/>
  <c r="C14" i="36"/>
  <c r="C13" i="36"/>
  <c r="C12" i="36"/>
  <c r="C11" i="36"/>
  <c r="C10" i="36"/>
  <c r="C9" i="36"/>
  <c r="C8" i="36"/>
  <c r="C7" i="36"/>
  <c r="C42" i="36" s="1"/>
  <c r="C81" i="35"/>
  <c r="C77" i="35"/>
  <c r="C76" i="35"/>
  <c r="C75" i="35"/>
  <c r="C73" i="35"/>
  <c r="C72" i="35"/>
  <c r="C70" i="35"/>
  <c r="C67" i="35"/>
  <c r="C66" i="35"/>
  <c r="C62" i="35"/>
  <c r="C61" i="35"/>
  <c r="C56" i="35"/>
  <c r="C53" i="35"/>
  <c r="C52" i="35"/>
  <c r="C51" i="35"/>
  <c r="C50" i="35"/>
  <c r="C48" i="35"/>
  <c r="C47" i="35"/>
  <c r="C46" i="35"/>
  <c r="R42" i="35"/>
  <c r="Q42" i="35"/>
  <c r="P42" i="35"/>
  <c r="O42" i="35"/>
  <c r="N42" i="35"/>
  <c r="M42" i="35"/>
  <c r="L42" i="35"/>
  <c r="K42" i="35"/>
  <c r="J42" i="35"/>
  <c r="I42" i="35"/>
  <c r="H42" i="35"/>
  <c r="G42" i="35"/>
  <c r="F42" i="35"/>
  <c r="E42" i="35"/>
  <c r="D42" i="35"/>
  <c r="B42" i="35"/>
  <c r="C41" i="35"/>
  <c r="C40" i="35"/>
  <c r="C39" i="35"/>
  <c r="C37" i="35"/>
  <c r="C36" i="35"/>
  <c r="C35" i="35"/>
  <c r="C34" i="35"/>
  <c r="C33" i="35"/>
  <c r="C31" i="35"/>
  <c r="C30" i="35"/>
  <c r="C29" i="35"/>
  <c r="C28" i="35"/>
  <c r="C27" i="35"/>
  <c r="C26" i="35"/>
  <c r="C25" i="35"/>
  <c r="C24" i="35"/>
  <c r="C23" i="35"/>
  <c r="C22" i="35"/>
  <c r="C20" i="35"/>
  <c r="C19" i="35"/>
  <c r="C18" i="35"/>
  <c r="C17" i="35"/>
  <c r="C16" i="35"/>
  <c r="C15" i="35"/>
  <c r="C14" i="35"/>
  <c r="C13" i="35"/>
  <c r="C12" i="35"/>
  <c r="C11" i="35"/>
  <c r="C10" i="35"/>
  <c r="C9" i="35"/>
  <c r="C8" i="35"/>
  <c r="C7" i="35"/>
  <c r="C42" i="35" s="1"/>
  <c r="C81" i="34"/>
  <c r="C77" i="34"/>
  <c r="C76" i="34"/>
  <c r="C75" i="34"/>
  <c r="C73" i="34"/>
  <c r="C72" i="34"/>
  <c r="C70" i="34"/>
  <c r="C67" i="34"/>
  <c r="C66" i="34"/>
  <c r="C62" i="34"/>
  <c r="C61" i="34"/>
  <c r="C56" i="34"/>
  <c r="C53" i="34"/>
  <c r="C52" i="34"/>
  <c r="C51" i="34"/>
  <c r="C50" i="34"/>
  <c r="C48" i="34"/>
  <c r="C47" i="34"/>
  <c r="C46" i="34"/>
  <c r="T42" i="34"/>
  <c r="S42" i="34"/>
  <c r="R42" i="34"/>
  <c r="Q42" i="34"/>
  <c r="P42" i="34"/>
  <c r="O42" i="34"/>
  <c r="N42" i="34"/>
  <c r="M42" i="34"/>
  <c r="L42" i="34"/>
  <c r="K42" i="34"/>
  <c r="J42" i="34"/>
  <c r="I42" i="34"/>
  <c r="H42" i="34"/>
  <c r="G42" i="34"/>
  <c r="F42" i="34"/>
  <c r="E42" i="34"/>
  <c r="D42" i="34"/>
  <c r="B42" i="34"/>
  <c r="C41" i="34"/>
  <c r="C40" i="34"/>
  <c r="C39" i="34"/>
  <c r="C37" i="34"/>
  <c r="C36" i="34"/>
  <c r="C35" i="34"/>
  <c r="C34" i="34"/>
  <c r="C33" i="34"/>
  <c r="C31" i="34"/>
  <c r="C30" i="34"/>
  <c r="C29" i="34"/>
  <c r="C28" i="34"/>
  <c r="C27" i="34"/>
  <c r="C26" i="34"/>
  <c r="C25" i="34"/>
  <c r="C24" i="34"/>
  <c r="C23" i="34"/>
  <c r="C22" i="34"/>
  <c r="C20" i="34"/>
  <c r="C19" i="34"/>
  <c r="C18" i="34"/>
  <c r="C17" i="34"/>
  <c r="C16" i="34"/>
  <c r="C15" i="34"/>
  <c r="C14" i="34"/>
  <c r="C13" i="34"/>
  <c r="C12" i="34"/>
  <c r="C11" i="34"/>
  <c r="C10" i="34"/>
  <c r="C9" i="34"/>
  <c r="C8" i="34"/>
  <c r="C7" i="34"/>
  <c r="C42" i="34" s="1"/>
  <c r="C81" i="33"/>
  <c r="C77" i="33"/>
  <c r="C76" i="33"/>
  <c r="C75" i="33"/>
  <c r="C73" i="33"/>
  <c r="C72" i="33"/>
  <c r="C70" i="33"/>
  <c r="C67" i="33"/>
  <c r="C66" i="33"/>
  <c r="C62" i="33"/>
  <c r="C61" i="33"/>
  <c r="C56" i="33"/>
  <c r="C53" i="33"/>
  <c r="C52" i="33"/>
  <c r="C51" i="33"/>
  <c r="C50" i="33"/>
  <c r="C48" i="33"/>
  <c r="C47" i="33"/>
  <c r="C46" i="33"/>
  <c r="R42" i="33"/>
  <c r="Q42" i="33"/>
  <c r="P42" i="33"/>
  <c r="O42" i="33"/>
  <c r="N42" i="33"/>
  <c r="M42" i="33"/>
  <c r="L42" i="33"/>
  <c r="K42" i="33"/>
  <c r="J42" i="33"/>
  <c r="I42" i="33"/>
  <c r="H42" i="33"/>
  <c r="G42" i="33"/>
  <c r="F42" i="33"/>
  <c r="E42" i="33"/>
  <c r="D42" i="33"/>
  <c r="B42" i="33"/>
  <c r="C41" i="33"/>
  <c r="C40" i="33"/>
  <c r="C39" i="33"/>
  <c r="C37" i="33"/>
  <c r="C36" i="33"/>
  <c r="C35" i="33"/>
  <c r="C34" i="33"/>
  <c r="C33" i="33"/>
  <c r="C31" i="33"/>
  <c r="C30" i="33"/>
  <c r="C29" i="33"/>
  <c r="C28" i="33"/>
  <c r="C27" i="33"/>
  <c r="C26" i="33"/>
  <c r="C25" i="33"/>
  <c r="C24" i="33"/>
  <c r="C23" i="33"/>
  <c r="C22" i="33"/>
  <c r="C20" i="33"/>
  <c r="C19" i="33"/>
  <c r="C18" i="33"/>
  <c r="C17" i="33"/>
  <c r="C16" i="33"/>
  <c r="C15" i="33"/>
  <c r="C14" i="33"/>
  <c r="C13" i="33"/>
  <c r="C12" i="33"/>
  <c r="C11" i="33"/>
  <c r="C10" i="33"/>
  <c r="C9" i="33"/>
  <c r="C8" i="33"/>
  <c r="C7" i="33"/>
  <c r="C42" i="33" s="1"/>
  <c r="C81" i="32"/>
  <c r="C77" i="32"/>
  <c r="C76" i="32"/>
  <c r="C75" i="32"/>
  <c r="C73" i="32"/>
  <c r="C72" i="32"/>
  <c r="C70" i="32"/>
  <c r="C67" i="32"/>
  <c r="C66" i="32"/>
  <c r="C62" i="32"/>
  <c r="C61" i="32"/>
  <c r="C56" i="32"/>
  <c r="C53" i="32"/>
  <c r="C52" i="32"/>
  <c r="C51" i="32"/>
  <c r="C50" i="32"/>
  <c r="C48" i="32"/>
  <c r="C47" i="32"/>
  <c r="C46" i="32"/>
  <c r="R42" i="32"/>
  <c r="Q42" i="32"/>
  <c r="P42" i="32"/>
  <c r="O42" i="32"/>
  <c r="N42" i="32"/>
  <c r="M42" i="32"/>
  <c r="L42" i="32"/>
  <c r="K42" i="32"/>
  <c r="J42" i="32"/>
  <c r="I42" i="32"/>
  <c r="H42" i="32"/>
  <c r="G42" i="32"/>
  <c r="F42" i="32"/>
  <c r="E42" i="32"/>
  <c r="D42" i="32"/>
  <c r="B42" i="32"/>
  <c r="C41" i="32"/>
  <c r="C40" i="32"/>
  <c r="C39" i="32"/>
  <c r="C37" i="32"/>
  <c r="C36" i="32"/>
  <c r="C35" i="32"/>
  <c r="C34" i="32"/>
  <c r="C33" i="32"/>
  <c r="C31" i="32"/>
  <c r="C30" i="32"/>
  <c r="C29" i="32"/>
  <c r="C28" i="32"/>
  <c r="C27" i="32"/>
  <c r="C26" i="32"/>
  <c r="C25" i="32"/>
  <c r="C24" i="32"/>
  <c r="C23" i="32"/>
  <c r="C22" i="32"/>
  <c r="C20" i="32"/>
  <c r="C19" i="32"/>
  <c r="C18" i="32"/>
  <c r="C17" i="32"/>
  <c r="C16" i="32"/>
  <c r="C15" i="32"/>
  <c r="C14" i="32"/>
  <c r="C13" i="32"/>
  <c r="C12" i="32"/>
  <c r="C11" i="32"/>
  <c r="C10" i="32"/>
  <c r="C9" i="32"/>
  <c r="C8" i="32"/>
  <c r="C7" i="32"/>
  <c r="C42" i="32" s="1"/>
  <c r="C81" i="31"/>
  <c r="C77" i="31"/>
  <c r="C76" i="31"/>
  <c r="C75" i="31"/>
  <c r="C73" i="31"/>
  <c r="C72" i="31"/>
  <c r="C70" i="31"/>
  <c r="C67" i="31"/>
  <c r="C66" i="31"/>
  <c r="C62" i="31"/>
  <c r="C61" i="31"/>
  <c r="C56" i="31"/>
  <c r="C53" i="31"/>
  <c r="C52" i="31"/>
  <c r="C51" i="31"/>
  <c r="C50" i="31"/>
  <c r="C48" i="31"/>
  <c r="C47" i="31"/>
  <c r="C46" i="31"/>
  <c r="R42" i="31"/>
  <c r="Q42" i="31"/>
  <c r="P42" i="31"/>
  <c r="O42" i="31"/>
  <c r="N42" i="31"/>
  <c r="M42" i="31"/>
  <c r="L42" i="31"/>
  <c r="K42" i="31"/>
  <c r="J42" i="31"/>
  <c r="I42" i="31"/>
  <c r="H42" i="31"/>
  <c r="G42" i="31"/>
  <c r="F42" i="31"/>
  <c r="E42" i="31"/>
  <c r="D42" i="31"/>
  <c r="B42" i="31"/>
  <c r="C41" i="31"/>
  <c r="C40" i="31"/>
  <c r="C39" i="31"/>
  <c r="C37" i="31"/>
  <c r="C36" i="31"/>
  <c r="C35" i="31"/>
  <c r="C34" i="31"/>
  <c r="C33" i="31"/>
  <c r="C31" i="31"/>
  <c r="C30" i="31"/>
  <c r="C29" i="31"/>
  <c r="C28" i="31"/>
  <c r="C27" i="31"/>
  <c r="C26" i="31"/>
  <c r="C25" i="31"/>
  <c r="C24" i="31"/>
  <c r="C23" i="31"/>
  <c r="C22" i="31"/>
  <c r="C20" i="31"/>
  <c r="C19" i="31"/>
  <c r="C18" i="31"/>
  <c r="C17" i="31"/>
  <c r="C16" i="31"/>
  <c r="C15" i="31"/>
  <c r="C14" i="31"/>
  <c r="C13" i="31"/>
  <c r="C12" i="31"/>
  <c r="C11" i="31"/>
  <c r="C10" i="31"/>
  <c r="C9" i="31"/>
  <c r="C8" i="31"/>
  <c r="C7" i="31"/>
  <c r="C42" i="31" s="1"/>
  <c r="C81" i="30"/>
  <c r="C77" i="30"/>
  <c r="C76" i="30"/>
  <c r="C75" i="30"/>
  <c r="C73" i="30"/>
  <c r="C72" i="30"/>
  <c r="C70" i="30"/>
  <c r="C67" i="30"/>
  <c r="C66" i="30"/>
  <c r="C62" i="30"/>
  <c r="C61" i="30"/>
  <c r="C56" i="30"/>
  <c r="C53" i="30"/>
  <c r="C52" i="30"/>
  <c r="C51" i="30"/>
  <c r="C50" i="30"/>
  <c r="C48" i="30"/>
  <c r="C47" i="30"/>
  <c r="C46" i="30"/>
  <c r="R42" i="30"/>
  <c r="Q42" i="30"/>
  <c r="P42" i="30"/>
  <c r="O42" i="30"/>
  <c r="N42" i="30"/>
  <c r="M42" i="30"/>
  <c r="L42" i="30"/>
  <c r="K42" i="30"/>
  <c r="J42" i="30"/>
  <c r="I42" i="30"/>
  <c r="H42" i="30"/>
  <c r="G42" i="30"/>
  <c r="F42" i="30"/>
  <c r="E42" i="30"/>
  <c r="D42" i="30"/>
  <c r="B42" i="30"/>
  <c r="C41" i="30"/>
  <c r="C40" i="30"/>
  <c r="C39" i="30"/>
  <c r="C37" i="30"/>
  <c r="C36" i="30"/>
  <c r="C35" i="30"/>
  <c r="C34" i="30"/>
  <c r="C33" i="30"/>
  <c r="C31" i="30"/>
  <c r="C30" i="30"/>
  <c r="C29" i="30"/>
  <c r="C28" i="30"/>
  <c r="C27" i="30"/>
  <c r="C26" i="30"/>
  <c r="C25" i="30"/>
  <c r="C24" i="30"/>
  <c r="C23" i="30"/>
  <c r="C22" i="30"/>
  <c r="C20" i="30"/>
  <c r="C19" i="30"/>
  <c r="C18" i="30"/>
  <c r="C17" i="30"/>
  <c r="C16" i="30"/>
  <c r="C15" i="30"/>
  <c r="C14" i="30"/>
  <c r="C13" i="30"/>
  <c r="C12" i="30"/>
  <c r="C11" i="30"/>
  <c r="C10" i="30"/>
  <c r="C9" i="30"/>
  <c r="C8" i="30"/>
  <c r="C7" i="30"/>
  <c r="C42" i="30" s="1"/>
  <c r="C81" i="29"/>
  <c r="C77" i="29"/>
  <c r="C76" i="29"/>
  <c r="C75" i="29"/>
  <c r="C73" i="29"/>
  <c r="C72" i="29"/>
  <c r="C70" i="29"/>
  <c r="C67" i="29"/>
  <c r="C66" i="29"/>
  <c r="C62" i="29"/>
  <c r="C61" i="29"/>
  <c r="C56" i="29"/>
  <c r="C53" i="29"/>
  <c r="C52" i="29"/>
  <c r="C51" i="29"/>
  <c r="C50" i="29"/>
  <c r="C48" i="29"/>
  <c r="C47" i="29"/>
  <c r="C46" i="29"/>
  <c r="R42" i="29"/>
  <c r="Q42" i="29"/>
  <c r="P42" i="29"/>
  <c r="O42" i="29"/>
  <c r="N42" i="29"/>
  <c r="M42" i="29"/>
  <c r="L42" i="29"/>
  <c r="K42" i="29"/>
  <c r="J42" i="29"/>
  <c r="I42" i="29"/>
  <c r="H42" i="29"/>
  <c r="G42" i="29"/>
  <c r="F42" i="29"/>
  <c r="E42" i="29"/>
  <c r="D42" i="29"/>
  <c r="B42" i="29"/>
  <c r="C41" i="29"/>
  <c r="C40" i="29"/>
  <c r="C39" i="29"/>
  <c r="C37" i="29"/>
  <c r="C36" i="29"/>
  <c r="C35" i="29"/>
  <c r="C34" i="29"/>
  <c r="C33" i="29"/>
  <c r="C31" i="29"/>
  <c r="C30" i="29"/>
  <c r="C29" i="29"/>
  <c r="C28" i="29"/>
  <c r="C27" i="29"/>
  <c r="C26" i="29"/>
  <c r="C25" i="29"/>
  <c r="C24" i="29"/>
  <c r="C23" i="29"/>
  <c r="C22" i="29"/>
  <c r="C20" i="29"/>
  <c r="C19" i="29"/>
  <c r="C18" i="29"/>
  <c r="C17" i="29"/>
  <c r="C16" i="29"/>
  <c r="C15" i="29"/>
  <c r="C14" i="29"/>
  <c r="C13" i="29"/>
  <c r="C12" i="29"/>
  <c r="C11" i="29"/>
  <c r="C10" i="29"/>
  <c r="C9" i="29"/>
  <c r="C8" i="29"/>
  <c r="C7" i="29"/>
  <c r="C42" i="29" s="1"/>
  <c r="C81" i="28"/>
  <c r="C77" i="28"/>
  <c r="C76" i="28"/>
  <c r="C75" i="28"/>
  <c r="C73" i="28"/>
  <c r="C72" i="28"/>
  <c r="C70" i="28"/>
  <c r="C67" i="28"/>
  <c r="C66" i="28"/>
  <c r="C62" i="28"/>
  <c r="C61" i="28"/>
  <c r="C56" i="28"/>
  <c r="C53" i="28"/>
  <c r="C52" i="28"/>
  <c r="C51" i="28"/>
  <c r="C50" i="28"/>
  <c r="C48" i="28"/>
  <c r="C47" i="28"/>
  <c r="C46" i="28"/>
  <c r="R42" i="28"/>
  <c r="Q42" i="28"/>
  <c r="P42" i="28"/>
  <c r="O42" i="28"/>
  <c r="N42" i="28"/>
  <c r="M42" i="28"/>
  <c r="L42" i="28"/>
  <c r="K42" i="28"/>
  <c r="J42" i="28"/>
  <c r="I42" i="28"/>
  <c r="H42" i="28"/>
  <c r="G42" i="28"/>
  <c r="F42" i="28"/>
  <c r="E42" i="28"/>
  <c r="D42" i="28"/>
  <c r="B42" i="28"/>
  <c r="C41" i="28"/>
  <c r="C40" i="28"/>
  <c r="C39" i="28"/>
  <c r="C37" i="28"/>
  <c r="C36" i="28"/>
  <c r="C35" i="28"/>
  <c r="C34" i="28"/>
  <c r="C33" i="28"/>
  <c r="C31" i="28"/>
  <c r="C30" i="28"/>
  <c r="C29" i="28"/>
  <c r="C28" i="28"/>
  <c r="C27" i="28"/>
  <c r="C26" i="28"/>
  <c r="C25" i="28"/>
  <c r="C24" i="28"/>
  <c r="C23" i="28"/>
  <c r="C22" i="28"/>
  <c r="C20" i="28"/>
  <c r="C19" i="28"/>
  <c r="C18" i="28"/>
  <c r="C17" i="28"/>
  <c r="C16" i="28"/>
  <c r="C15" i="28"/>
  <c r="C14" i="28"/>
  <c r="C13" i="28"/>
  <c r="C12" i="28"/>
  <c r="C11" i="28"/>
  <c r="C10" i="28"/>
  <c r="C9" i="28"/>
  <c r="C8" i="28"/>
  <c r="C7" i="28"/>
  <c r="C42" i="28" s="1"/>
  <c r="C81" i="27"/>
  <c r="C77" i="27"/>
  <c r="C76" i="27"/>
  <c r="C75" i="27"/>
  <c r="C73" i="27"/>
  <c r="C72" i="27"/>
  <c r="C70" i="27"/>
  <c r="C67" i="27"/>
  <c r="C66" i="27"/>
  <c r="C62" i="27"/>
  <c r="C61" i="27"/>
  <c r="C56" i="27"/>
  <c r="C53" i="27"/>
  <c r="C52" i="27"/>
  <c r="C51" i="27"/>
  <c r="C50" i="27"/>
  <c r="C48" i="27"/>
  <c r="C47" i="27"/>
  <c r="C46" i="27"/>
  <c r="R42" i="27"/>
  <c r="Q42" i="27"/>
  <c r="P42" i="27"/>
  <c r="O42" i="27"/>
  <c r="N42" i="27"/>
  <c r="M42" i="27"/>
  <c r="L42" i="27"/>
  <c r="K42" i="27"/>
  <c r="J42" i="27"/>
  <c r="I42" i="27"/>
  <c r="H42" i="27"/>
  <c r="G42" i="27"/>
  <c r="F42" i="27"/>
  <c r="E42" i="27"/>
  <c r="D42" i="27"/>
  <c r="B42" i="27"/>
  <c r="C41" i="27"/>
  <c r="C40" i="27"/>
  <c r="C39" i="27"/>
  <c r="C37" i="27"/>
  <c r="C36" i="27"/>
  <c r="C35" i="27"/>
  <c r="C34" i="27"/>
  <c r="C33" i="27"/>
  <c r="C31" i="27"/>
  <c r="C30" i="27"/>
  <c r="C29" i="27"/>
  <c r="C28" i="27"/>
  <c r="C27" i="27"/>
  <c r="C26" i="27"/>
  <c r="C25" i="27"/>
  <c r="C24" i="27"/>
  <c r="C23" i="27"/>
  <c r="C22" i="27"/>
  <c r="C20" i="27"/>
  <c r="C19" i="27"/>
  <c r="C18" i="27"/>
  <c r="C17" i="27"/>
  <c r="C16" i="27"/>
  <c r="C15" i="27"/>
  <c r="C14" i="27"/>
  <c r="C13" i="27"/>
  <c r="C12" i="27"/>
  <c r="C11" i="27"/>
  <c r="C10" i="27"/>
  <c r="C9" i="27"/>
  <c r="C8" i="27"/>
  <c r="C7" i="27"/>
  <c r="C42" i="27" s="1"/>
  <c r="C81" i="26"/>
  <c r="C77" i="26"/>
  <c r="C76" i="26"/>
  <c r="C75" i="26"/>
  <c r="C73" i="26"/>
  <c r="C72" i="26"/>
  <c r="C70" i="26"/>
  <c r="C67" i="26"/>
  <c r="C66" i="26"/>
  <c r="C62" i="26"/>
  <c r="C61" i="26"/>
  <c r="C56" i="26"/>
  <c r="C53" i="26"/>
  <c r="C52" i="26"/>
  <c r="C51" i="26"/>
  <c r="C50" i="26"/>
  <c r="C48" i="26"/>
  <c r="C47" i="26"/>
  <c r="C46" i="26"/>
  <c r="R42" i="26"/>
  <c r="Q42" i="26"/>
  <c r="P42" i="26"/>
  <c r="O42" i="26"/>
  <c r="N42" i="26"/>
  <c r="M42" i="26"/>
  <c r="L42" i="26"/>
  <c r="K42" i="26"/>
  <c r="J42" i="26"/>
  <c r="I42" i="26"/>
  <c r="H42" i="26"/>
  <c r="G42" i="26"/>
  <c r="F42" i="26"/>
  <c r="E42" i="26"/>
  <c r="D42" i="26"/>
  <c r="B42" i="26"/>
  <c r="C41" i="26"/>
  <c r="C40" i="26"/>
  <c r="C39" i="26"/>
  <c r="C37" i="26"/>
  <c r="C36" i="26"/>
  <c r="C35" i="26"/>
  <c r="C34" i="26"/>
  <c r="C33" i="26"/>
  <c r="C31" i="26"/>
  <c r="C30" i="26"/>
  <c r="C29" i="26"/>
  <c r="C28" i="26"/>
  <c r="C27" i="26"/>
  <c r="C26" i="26"/>
  <c r="C25" i="26"/>
  <c r="C24" i="26"/>
  <c r="C23" i="26"/>
  <c r="C22" i="26"/>
  <c r="C20" i="26"/>
  <c r="C19" i="26"/>
  <c r="C18" i="26"/>
  <c r="C17" i="26"/>
  <c r="C16" i="26"/>
  <c r="C15" i="26"/>
  <c r="C14" i="26"/>
  <c r="C13" i="26"/>
  <c r="C12" i="26"/>
  <c r="C11" i="26"/>
  <c r="C10" i="26"/>
  <c r="C9" i="26"/>
  <c r="C8" i="26"/>
  <c r="C7" i="26"/>
  <c r="C42" i="26" s="1"/>
  <c r="C81" i="25"/>
  <c r="C77" i="25"/>
  <c r="C76" i="25"/>
  <c r="C75" i="25"/>
  <c r="C73" i="25"/>
  <c r="C72" i="25"/>
  <c r="C70" i="25"/>
  <c r="C67" i="25"/>
  <c r="C66" i="25"/>
  <c r="C62" i="25"/>
  <c r="C61" i="25"/>
  <c r="C56" i="25"/>
  <c r="C53" i="25"/>
  <c r="C52" i="25"/>
  <c r="C51" i="25"/>
  <c r="C50" i="25"/>
  <c r="C48" i="25"/>
  <c r="C47" i="25"/>
  <c r="C46" i="25"/>
  <c r="V42" i="25"/>
  <c r="U42" i="25"/>
  <c r="T42" i="25"/>
  <c r="S42" i="25"/>
  <c r="R42" i="25"/>
  <c r="Q42" i="25"/>
  <c r="P42" i="25"/>
  <c r="O42" i="25"/>
  <c r="N42" i="25"/>
  <c r="M42" i="25"/>
  <c r="L42" i="25"/>
  <c r="K42" i="25"/>
  <c r="J42" i="25"/>
  <c r="I42" i="25"/>
  <c r="H42" i="25"/>
  <c r="G42" i="25"/>
  <c r="F42" i="25"/>
  <c r="E42" i="25"/>
  <c r="D42" i="25"/>
  <c r="B42" i="25"/>
  <c r="C41" i="25"/>
  <c r="C40" i="25"/>
  <c r="C39" i="25"/>
  <c r="C37" i="25"/>
  <c r="C36" i="25"/>
  <c r="C35" i="25"/>
  <c r="C34" i="25"/>
  <c r="C33" i="25"/>
  <c r="C31" i="25"/>
  <c r="C30" i="25"/>
  <c r="C29" i="25"/>
  <c r="C28" i="25"/>
  <c r="C27" i="25"/>
  <c r="C26" i="25"/>
  <c r="C25" i="25"/>
  <c r="C24" i="25"/>
  <c r="C23" i="25"/>
  <c r="C22" i="25"/>
  <c r="C20" i="25"/>
  <c r="C19" i="25"/>
  <c r="C18" i="25"/>
  <c r="C17" i="25"/>
  <c r="C16" i="25"/>
  <c r="C15" i="25"/>
  <c r="C14" i="25"/>
  <c r="C13" i="25"/>
  <c r="C12" i="25"/>
  <c r="C11" i="25"/>
  <c r="C10" i="25"/>
  <c r="C9" i="25"/>
  <c r="C8" i="25"/>
  <c r="C7" i="25"/>
  <c r="C42" i="25" s="1"/>
  <c r="C81" i="24"/>
  <c r="C77" i="24"/>
  <c r="C76" i="24"/>
  <c r="C75" i="24"/>
  <c r="C73" i="24"/>
  <c r="C72" i="24"/>
  <c r="C70" i="24"/>
  <c r="C67" i="24"/>
  <c r="C66" i="24"/>
  <c r="C62" i="24"/>
  <c r="C61" i="24"/>
  <c r="C56" i="24"/>
  <c r="C53" i="24"/>
  <c r="C52" i="24"/>
  <c r="C51" i="24"/>
  <c r="C50" i="24"/>
  <c r="C48" i="24"/>
  <c r="C47" i="24"/>
  <c r="C46" i="24"/>
  <c r="R42" i="24"/>
  <c r="Q42" i="24"/>
  <c r="P42" i="24"/>
  <c r="O42" i="24"/>
  <c r="N42" i="24"/>
  <c r="M42" i="24"/>
  <c r="L42" i="24"/>
  <c r="K42" i="24"/>
  <c r="J42" i="24"/>
  <c r="I42" i="24"/>
  <c r="H42" i="24"/>
  <c r="G42" i="24"/>
  <c r="F42" i="24"/>
  <c r="E42" i="24"/>
  <c r="D42" i="24"/>
  <c r="B42" i="24"/>
  <c r="C41" i="24"/>
  <c r="C40" i="24"/>
  <c r="C39" i="24"/>
  <c r="C37" i="24"/>
  <c r="C36" i="24"/>
  <c r="C35" i="24"/>
  <c r="C34" i="24"/>
  <c r="C33" i="24"/>
  <c r="C31" i="24"/>
  <c r="C30" i="24"/>
  <c r="C29" i="24"/>
  <c r="C28" i="24"/>
  <c r="C27" i="24"/>
  <c r="C26" i="24"/>
  <c r="C25" i="24"/>
  <c r="C24" i="24"/>
  <c r="C23" i="24"/>
  <c r="C22" i="24"/>
  <c r="C20" i="24"/>
  <c r="C19" i="24"/>
  <c r="C18" i="24"/>
  <c r="C17" i="24"/>
  <c r="C16" i="24"/>
  <c r="C15" i="24"/>
  <c r="C14" i="24"/>
  <c r="C13" i="24"/>
  <c r="C12" i="24"/>
  <c r="C11" i="24"/>
  <c r="C10" i="24"/>
  <c r="C9" i="24"/>
  <c r="C8" i="24"/>
  <c r="C7" i="24"/>
  <c r="C42" i="24" s="1"/>
  <c r="C81" i="23"/>
  <c r="C77" i="23"/>
  <c r="C76" i="23"/>
  <c r="C75" i="23"/>
  <c r="C73" i="23"/>
  <c r="C72" i="23"/>
  <c r="C70" i="23"/>
  <c r="C67" i="23"/>
  <c r="C66" i="23"/>
  <c r="C62" i="23"/>
  <c r="C61" i="23"/>
  <c r="C56" i="23"/>
  <c r="C53" i="23"/>
  <c r="C52" i="23"/>
  <c r="C51" i="23"/>
  <c r="C50" i="23"/>
  <c r="C48" i="23"/>
  <c r="C47" i="23"/>
  <c r="C46" i="23"/>
  <c r="R42" i="23"/>
  <c r="Q42" i="23"/>
  <c r="P42" i="23"/>
  <c r="O42" i="23"/>
  <c r="N42" i="23"/>
  <c r="M42" i="23"/>
  <c r="L42" i="23"/>
  <c r="K42" i="23"/>
  <c r="J42" i="23"/>
  <c r="I42" i="23"/>
  <c r="H42" i="23"/>
  <c r="G42" i="23"/>
  <c r="F42" i="23"/>
  <c r="E42" i="23"/>
  <c r="D42" i="23"/>
  <c r="B42" i="23"/>
  <c r="C41" i="23"/>
  <c r="C40" i="23"/>
  <c r="C39" i="23"/>
  <c r="C37" i="23"/>
  <c r="C36" i="23"/>
  <c r="C35" i="23"/>
  <c r="C34" i="23"/>
  <c r="C33" i="23"/>
  <c r="C31" i="23"/>
  <c r="C30" i="23"/>
  <c r="C29" i="23"/>
  <c r="C28" i="23"/>
  <c r="C27" i="23"/>
  <c r="C26" i="23"/>
  <c r="C25" i="23"/>
  <c r="C24" i="23"/>
  <c r="C23" i="23"/>
  <c r="C22" i="23"/>
  <c r="C20" i="23"/>
  <c r="C19" i="23"/>
  <c r="C18" i="23"/>
  <c r="C17" i="23"/>
  <c r="C16" i="23"/>
  <c r="C15" i="23"/>
  <c r="C14" i="23"/>
  <c r="C13" i="23"/>
  <c r="C12" i="23"/>
  <c r="C11" i="23"/>
  <c r="C10" i="23"/>
  <c r="C9" i="23"/>
  <c r="C8" i="23"/>
  <c r="C7" i="23"/>
  <c r="C42" i="23" s="1"/>
  <c r="C81" i="22"/>
  <c r="C77" i="22"/>
  <c r="C76" i="22"/>
  <c r="C75" i="22"/>
  <c r="C73" i="22"/>
  <c r="C72" i="22"/>
  <c r="C70" i="22"/>
  <c r="C67" i="22"/>
  <c r="C66" i="22"/>
  <c r="C62" i="22"/>
  <c r="C61" i="22"/>
  <c r="C56" i="22"/>
  <c r="C53" i="22"/>
  <c r="C52" i="22"/>
  <c r="C51" i="22"/>
  <c r="C50" i="22"/>
  <c r="C48" i="22"/>
  <c r="C47" i="22"/>
  <c r="C46" i="22"/>
  <c r="R42" i="22"/>
  <c r="Q42" i="22"/>
  <c r="P42" i="22"/>
  <c r="O42" i="22"/>
  <c r="N42" i="22"/>
  <c r="M42" i="22"/>
  <c r="L42" i="22"/>
  <c r="K42" i="22"/>
  <c r="J42" i="22"/>
  <c r="I42" i="22"/>
  <c r="H42" i="22"/>
  <c r="G42" i="22"/>
  <c r="F42" i="22"/>
  <c r="E42" i="22"/>
  <c r="D42" i="22"/>
  <c r="B42" i="22"/>
  <c r="C41" i="22"/>
  <c r="C40" i="22"/>
  <c r="C39" i="22"/>
  <c r="C37" i="22"/>
  <c r="C36" i="22"/>
  <c r="C35" i="22"/>
  <c r="C34" i="22"/>
  <c r="C33" i="22"/>
  <c r="C31" i="22"/>
  <c r="C30" i="22"/>
  <c r="C29" i="22"/>
  <c r="C28" i="22"/>
  <c r="C27" i="22"/>
  <c r="C26" i="22"/>
  <c r="C25" i="22"/>
  <c r="C24" i="22"/>
  <c r="C23" i="22"/>
  <c r="C22" i="22"/>
  <c r="C20" i="22"/>
  <c r="C19" i="22"/>
  <c r="C18" i="22"/>
  <c r="C17" i="22"/>
  <c r="C16" i="22"/>
  <c r="C15" i="22"/>
  <c r="C14" i="22"/>
  <c r="C13" i="22"/>
  <c r="C12" i="22"/>
  <c r="C11" i="22"/>
  <c r="C10" i="22"/>
  <c r="C9" i="22"/>
  <c r="C8" i="22"/>
  <c r="C7" i="22"/>
  <c r="C42" i="22" s="1"/>
  <c r="C81" i="21"/>
  <c r="C77" i="21"/>
  <c r="C76" i="21"/>
  <c r="C75" i="21"/>
  <c r="C73" i="21"/>
  <c r="C72" i="21"/>
  <c r="C70" i="21"/>
  <c r="C67" i="21"/>
  <c r="C66" i="21"/>
  <c r="C62" i="21"/>
  <c r="C61" i="21"/>
  <c r="C56" i="21"/>
  <c r="C53" i="21"/>
  <c r="C52" i="21"/>
  <c r="C51" i="21"/>
  <c r="C50" i="21"/>
  <c r="C48" i="21"/>
  <c r="C47" i="21"/>
  <c r="C46" i="21"/>
  <c r="R42" i="21"/>
  <c r="Q42" i="21"/>
  <c r="P42" i="21"/>
  <c r="O42" i="21"/>
  <c r="N42" i="21"/>
  <c r="M42" i="21"/>
  <c r="L42" i="21"/>
  <c r="K42" i="21"/>
  <c r="J42" i="21"/>
  <c r="I42" i="21"/>
  <c r="H42" i="21"/>
  <c r="G42" i="21"/>
  <c r="F42" i="21"/>
  <c r="E42" i="21"/>
  <c r="D42" i="21"/>
  <c r="B42" i="21"/>
  <c r="C41" i="21"/>
  <c r="C40" i="21"/>
  <c r="C39" i="21"/>
  <c r="C37" i="21"/>
  <c r="C36" i="21"/>
  <c r="C35" i="21"/>
  <c r="C34" i="21"/>
  <c r="C33" i="21"/>
  <c r="C31" i="21"/>
  <c r="C30" i="21"/>
  <c r="C29" i="21"/>
  <c r="C28" i="21"/>
  <c r="C27" i="21"/>
  <c r="C26" i="21"/>
  <c r="C25" i="21"/>
  <c r="C24" i="21"/>
  <c r="C23" i="21"/>
  <c r="C22" i="21"/>
  <c r="C20" i="21"/>
  <c r="C19" i="21"/>
  <c r="C18" i="21"/>
  <c r="C17" i="21"/>
  <c r="C16" i="21"/>
  <c r="C15" i="21"/>
  <c r="C14" i="21"/>
  <c r="C13" i="21"/>
  <c r="C12" i="21"/>
  <c r="C11" i="21"/>
  <c r="C10" i="21"/>
  <c r="C9" i="21"/>
  <c r="C8" i="21"/>
  <c r="C7" i="21"/>
  <c r="C42" i="21" s="1"/>
  <c r="C81" i="20"/>
  <c r="C77" i="20"/>
  <c r="C76" i="20"/>
  <c r="C75" i="20"/>
  <c r="C73" i="20"/>
  <c r="C72" i="20"/>
  <c r="C70" i="20"/>
  <c r="C67" i="20"/>
  <c r="C66" i="20"/>
  <c r="C62" i="20"/>
  <c r="C61" i="20"/>
  <c r="C56" i="20"/>
  <c r="C53" i="20"/>
  <c r="C52" i="20"/>
  <c r="C51" i="20"/>
  <c r="C50" i="20"/>
  <c r="C48" i="20"/>
  <c r="C47" i="20"/>
  <c r="C46" i="20"/>
  <c r="R42" i="20"/>
  <c r="Q42" i="20"/>
  <c r="P42" i="20"/>
  <c r="O42" i="20"/>
  <c r="N42" i="20"/>
  <c r="M42" i="20"/>
  <c r="L42" i="20"/>
  <c r="K42" i="20"/>
  <c r="J42" i="20"/>
  <c r="I42" i="20"/>
  <c r="H42" i="20"/>
  <c r="G42" i="20"/>
  <c r="F42" i="20"/>
  <c r="E42" i="20"/>
  <c r="D42" i="20"/>
  <c r="B42" i="20"/>
  <c r="C41" i="20"/>
  <c r="C40" i="20"/>
  <c r="C39" i="20"/>
  <c r="C37" i="20"/>
  <c r="C36" i="20"/>
  <c r="C35" i="20"/>
  <c r="C34" i="20"/>
  <c r="C33" i="20"/>
  <c r="C31" i="20"/>
  <c r="C30" i="20"/>
  <c r="C29" i="20"/>
  <c r="C28" i="20"/>
  <c r="C27" i="20"/>
  <c r="C26" i="20"/>
  <c r="C25" i="20"/>
  <c r="C24" i="20"/>
  <c r="C23" i="20"/>
  <c r="C22" i="20"/>
  <c r="C20" i="20"/>
  <c r="C19" i="20"/>
  <c r="C18" i="20"/>
  <c r="C17" i="20"/>
  <c r="C16" i="20"/>
  <c r="C15" i="20"/>
  <c r="C14" i="20"/>
  <c r="C13" i="20"/>
  <c r="C12" i="20"/>
  <c r="C11" i="20"/>
  <c r="C10" i="20"/>
  <c r="C9" i="20"/>
  <c r="C8" i="20"/>
  <c r="C7" i="20"/>
  <c r="C42" i="20" s="1"/>
  <c r="C81" i="19"/>
  <c r="C77" i="19"/>
  <c r="C76" i="19"/>
  <c r="C75" i="19"/>
  <c r="C73" i="19"/>
  <c r="C72" i="19"/>
  <c r="C70" i="19"/>
  <c r="C67" i="19"/>
  <c r="C66" i="19"/>
  <c r="C62" i="19"/>
  <c r="C61" i="19"/>
  <c r="C56" i="19"/>
  <c r="C53" i="19"/>
  <c r="C52" i="19"/>
  <c r="C51" i="19"/>
  <c r="C50" i="19"/>
  <c r="C48" i="19"/>
  <c r="C47" i="19"/>
  <c r="C46" i="19"/>
  <c r="R42" i="19"/>
  <c r="Q42" i="19"/>
  <c r="P42" i="19"/>
  <c r="O42" i="19"/>
  <c r="N42" i="19"/>
  <c r="M42" i="19"/>
  <c r="L42" i="19"/>
  <c r="K42" i="19"/>
  <c r="J42" i="19"/>
  <c r="I42" i="19"/>
  <c r="H42" i="19"/>
  <c r="G42" i="19"/>
  <c r="F42" i="19"/>
  <c r="E42" i="19"/>
  <c r="D42" i="19"/>
  <c r="B42" i="19"/>
  <c r="C41" i="19"/>
  <c r="C40" i="19"/>
  <c r="C39" i="19"/>
  <c r="C37" i="19"/>
  <c r="C36" i="19"/>
  <c r="C35" i="19"/>
  <c r="C34" i="19"/>
  <c r="C33" i="19"/>
  <c r="C31" i="19"/>
  <c r="C30" i="19"/>
  <c r="C29" i="19"/>
  <c r="C28" i="19"/>
  <c r="C27" i="19"/>
  <c r="C26" i="19"/>
  <c r="C25" i="19"/>
  <c r="C24" i="19"/>
  <c r="C23" i="19"/>
  <c r="C22" i="19"/>
  <c r="C20" i="19"/>
  <c r="C19" i="19"/>
  <c r="C18" i="19"/>
  <c r="C17" i="19"/>
  <c r="C16" i="19"/>
  <c r="C15" i="19"/>
  <c r="C14" i="19"/>
  <c r="C13" i="19"/>
  <c r="C12" i="19"/>
  <c r="C11" i="19"/>
  <c r="C10" i="19"/>
  <c r="C9" i="19"/>
  <c r="C8" i="19"/>
  <c r="C7" i="19"/>
  <c r="C42" i="19" s="1"/>
  <c r="C81" i="18"/>
  <c r="C77" i="18"/>
  <c r="C76" i="18"/>
  <c r="C75" i="18"/>
  <c r="C73" i="18"/>
  <c r="C72" i="18"/>
  <c r="C70" i="18"/>
  <c r="C67" i="18"/>
  <c r="C66" i="18"/>
  <c r="C62" i="18"/>
  <c r="C61" i="18"/>
  <c r="C56" i="18"/>
  <c r="C53" i="18"/>
  <c r="C52" i="18"/>
  <c r="C51" i="18"/>
  <c r="C50" i="18"/>
  <c r="C48" i="18"/>
  <c r="C47" i="18"/>
  <c r="C46" i="18"/>
  <c r="R42" i="18"/>
  <c r="Q42" i="18"/>
  <c r="P42" i="18"/>
  <c r="O42" i="18"/>
  <c r="N42" i="18"/>
  <c r="M42" i="18"/>
  <c r="L42" i="18"/>
  <c r="K42" i="18"/>
  <c r="J42" i="18"/>
  <c r="I42" i="18"/>
  <c r="H42" i="18"/>
  <c r="G42" i="18"/>
  <c r="F42" i="18"/>
  <c r="E42" i="18"/>
  <c r="D42" i="18"/>
  <c r="B42" i="18"/>
  <c r="C41" i="18"/>
  <c r="C40" i="18"/>
  <c r="C39" i="18"/>
  <c r="C37" i="18"/>
  <c r="C36" i="18"/>
  <c r="C35" i="18"/>
  <c r="C34" i="18"/>
  <c r="C33" i="18"/>
  <c r="C31" i="18"/>
  <c r="C30" i="18"/>
  <c r="C29" i="18"/>
  <c r="C28" i="18"/>
  <c r="C27" i="18"/>
  <c r="C26" i="18"/>
  <c r="C25" i="18"/>
  <c r="C24" i="18"/>
  <c r="C23" i="18"/>
  <c r="C22" i="18"/>
  <c r="C20" i="18"/>
  <c r="C19" i="18"/>
  <c r="C18" i="18"/>
  <c r="C17" i="18"/>
  <c r="C16" i="18"/>
  <c r="C15" i="18"/>
  <c r="C14" i="18"/>
  <c r="C13" i="18"/>
  <c r="C12" i="18"/>
  <c r="C11" i="18"/>
  <c r="C10" i="18"/>
  <c r="C9" i="18"/>
  <c r="C8" i="18"/>
  <c r="C7" i="18"/>
  <c r="C42" i="18" s="1"/>
  <c r="C81" i="17"/>
  <c r="C77" i="17"/>
  <c r="C76" i="17"/>
  <c r="C75" i="17"/>
  <c r="C73" i="17"/>
  <c r="C72" i="17"/>
  <c r="C70" i="17"/>
  <c r="C67" i="17"/>
  <c r="C66" i="17"/>
  <c r="C62" i="17"/>
  <c r="C61" i="17"/>
  <c r="C56" i="17"/>
  <c r="C53" i="17"/>
  <c r="C52" i="17"/>
  <c r="C51" i="17"/>
  <c r="C50" i="17"/>
  <c r="C48" i="17"/>
  <c r="C47" i="17"/>
  <c r="C46" i="17"/>
  <c r="R42" i="17"/>
  <c r="Q42" i="17"/>
  <c r="P42" i="17"/>
  <c r="O42" i="17"/>
  <c r="N42" i="17"/>
  <c r="M42" i="17"/>
  <c r="L42" i="17"/>
  <c r="K42" i="17"/>
  <c r="J42" i="17"/>
  <c r="I42" i="17"/>
  <c r="H42" i="17"/>
  <c r="G42" i="17"/>
  <c r="F42" i="17"/>
  <c r="E42" i="17"/>
  <c r="D42" i="17"/>
  <c r="B42" i="17"/>
  <c r="C41" i="17"/>
  <c r="C40" i="17"/>
  <c r="C39" i="17"/>
  <c r="C37" i="17"/>
  <c r="C36" i="17"/>
  <c r="C35" i="17"/>
  <c r="C34" i="17"/>
  <c r="C33" i="17"/>
  <c r="C31" i="17"/>
  <c r="C30" i="17"/>
  <c r="C29" i="17"/>
  <c r="C28" i="17"/>
  <c r="C27" i="17"/>
  <c r="C26" i="17"/>
  <c r="C25" i="17"/>
  <c r="C24" i="17"/>
  <c r="C23" i="17"/>
  <c r="C22" i="17"/>
  <c r="C20" i="17"/>
  <c r="C19" i="17"/>
  <c r="C18" i="17"/>
  <c r="C17" i="17"/>
  <c r="C16" i="17"/>
  <c r="C15" i="17"/>
  <c r="C14" i="17"/>
  <c r="C13" i="17"/>
  <c r="C12" i="17"/>
  <c r="C11" i="17"/>
  <c r="C10" i="17"/>
  <c r="C9" i="17"/>
  <c r="C8" i="17"/>
  <c r="C7" i="17"/>
  <c r="C42" i="17" s="1"/>
  <c r="C81" i="16"/>
  <c r="C77" i="16"/>
  <c r="C76" i="16"/>
  <c r="C75" i="16"/>
  <c r="C73" i="16"/>
  <c r="C72" i="16"/>
  <c r="C70" i="16"/>
  <c r="C67" i="16"/>
  <c r="C66" i="16"/>
  <c r="C62" i="16"/>
  <c r="C61" i="16"/>
  <c r="C56" i="16"/>
  <c r="C53" i="16"/>
  <c r="C52" i="16"/>
  <c r="C51" i="16"/>
  <c r="C50" i="16"/>
  <c r="C48" i="16"/>
  <c r="C47" i="16"/>
  <c r="C46" i="16"/>
  <c r="R42" i="16"/>
  <c r="Q42" i="16"/>
  <c r="P42" i="16"/>
  <c r="O42" i="16"/>
  <c r="N42" i="16"/>
  <c r="M42" i="16"/>
  <c r="L42" i="16"/>
  <c r="K42" i="16"/>
  <c r="J42" i="16"/>
  <c r="I42" i="16"/>
  <c r="H42" i="16"/>
  <c r="G42" i="16"/>
  <c r="F42" i="16"/>
  <c r="E42" i="16"/>
  <c r="D42" i="16"/>
  <c r="B42" i="16"/>
  <c r="C41" i="16"/>
  <c r="C40" i="16"/>
  <c r="C39" i="16"/>
  <c r="C37" i="16"/>
  <c r="C36" i="16"/>
  <c r="C35" i="16"/>
  <c r="C34" i="16"/>
  <c r="C33" i="16"/>
  <c r="C31" i="16"/>
  <c r="C30" i="16"/>
  <c r="C29" i="16"/>
  <c r="C28" i="16"/>
  <c r="C27" i="16"/>
  <c r="C26" i="16"/>
  <c r="C25" i="16"/>
  <c r="C24" i="16"/>
  <c r="C23" i="16"/>
  <c r="C22" i="16"/>
  <c r="C20" i="16"/>
  <c r="C19" i="16"/>
  <c r="C18" i="16"/>
  <c r="C17" i="16"/>
  <c r="C16" i="16"/>
  <c r="C15" i="16"/>
  <c r="C14" i="16"/>
  <c r="C13" i="16"/>
  <c r="C12" i="16"/>
  <c r="C11" i="16"/>
  <c r="C10" i="16"/>
  <c r="C9" i="16"/>
  <c r="C8" i="16"/>
  <c r="C7" i="16"/>
  <c r="C42" i="16" s="1"/>
  <c r="C81" i="15"/>
  <c r="C77" i="15"/>
  <c r="C76" i="15"/>
  <c r="C75" i="15"/>
  <c r="C73" i="15"/>
  <c r="C72" i="15"/>
  <c r="C70" i="15"/>
  <c r="C67" i="15"/>
  <c r="C66" i="15"/>
  <c r="C62" i="15"/>
  <c r="C61" i="15"/>
  <c r="C56" i="15"/>
  <c r="C53" i="15"/>
  <c r="C52" i="15"/>
  <c r="C51" i="15"/>
  <c r="C50" i="15"/>
  <c r="C48" i="15"/>
  <c r="C47" i="15"/>
  <c r="C46" i="15"/>
  <c r="V42" i="15"/>
  <c r="U42" i="15"/>
  <c r="T42" i="15"/>
  <c r="S42" i="15"/>
  <c r="R42" i="15"/>
  <c r="Q42" i="15"/>
  <c r="P42" i="15"/>
  <c r="O42" i="15"/>
  <c r="N42" i="15"/>
  <c r="M42" i="15"/>
  <c r="L42" i="15"/>
  <c r="K42" i="15"/>
  <c r="J42" i="15"/>
  <c r="I42" i="15"/>
  <c r="H42" i="15"/>
  <c r="G42" i="15"/>
  <c r="F42" i="15"/>
  <c r="E42" i="15"/>
  <c r="D42" i="15"/>
  <c r="B42" i="15"/>
  <c r="C41" i="15"/>
  <c r="C40" i="15"/>
  <c r="C39" i="15"/>
  <c r="C37" i="15"/>
  <c r="C36" i="15"/>
  <c r="C35" i="15"/>
  <c r="C34" i="15"/>
  <c r="C33" i="15"/>
  <c r="C31" i="15"/>
  <c r="C30" i="15"/>
  <c r="C29" i="15"/>
  <c r="C28" i="15"/>
  <c r="C27" i="15"/>
  <c r="C26" i="15"/>
  <c r="C25" i="15"/>
  <c r="C24" i="15"/>
  <c r="C23" i="15"/>
  <c r="C22" i="15"/>
  <c r="C20" i="15"/>
  <c r="C19" i="15"/>
  <c r="C18" i="15"/>
  <c r="C17" i="15"/>
  <c r="C16" i="15"/>
  <c r="C15" i="15"/>
  <c r="C14" i="15"/>
  <c r="C13" i="15"/>
  <c r="C12" i="15"/>
  <c r="C11" i="15"/>
  <c r="C10" i="15"/>
  <c r="C9" i="15"/>
  <c r="C8" i="15"/>
  <c r="C7" i="15"/>
  <c r="C42" i="15" s="1"/>
  <c r="C81" i="14"/>
  <c r="C77" i="14"/>
  <c r="C76" i="14"/>
  <c r="C75" i="14"/>
  <c r="C73" i="14"/>
  <c r="C72" i="14"/>
  <c r="C70" i="14"/>
  <c r="C67" i="14"/>
  <c r="C66" i="14"/>
  <c r="C62" i="14"/>
  <c r="C61" i="14"/>
  <c r="C56" i="14"/>
  <c r="C53" i="14"/>
  <c r="C52" i="14"/>
  <c r="C51" i="14"/>
  <c r="C50" i="14"/>
  <c r="C48" i="14"/>
  <c r="C47" i="14"/>
  <c r="C46" i="14"/>
  <c r="R42" i="14"/>
  <c r="Q42" i="14"/>
  <c r="P42" i="14"/>
  <c r="O42" i="14"/>
  <c r="N42" i="14"/>
  <c r="M42" i="14"/>
  <c r="L42" i="14"/>
  <c r="K42" i="14"/>
  <c r="J42" i="14"/>
  <c r="I42" i="14"/>
  <c r="H42" i="14"/>
  <c r="G42" i="14"/>
  <c r="F42" i="14"/>
  <c r="E42" i="14"/>
  <c r="D42" i="14"/>
  <c r="B42" i="14"/>
  <c r="C41" i="14"/>
  <c r="C40" i="14"/>
  <c r="C39" i="14"/>
  <c r="C37" i="14"/>
  <c r="C36" i="14"/>
  <c r="C35" i="14"/>
  <c r="C34" i="14"/>
  <c r="C33" i="14"/>
  <c r="C31" i="14"/>
  <c r="C30" i="14"/>
  <c r="C29" i="14"/>
  <c r="C28" i="14"/>
  <c r="C27" i="14"/>
  <c r="C26" i="14"/>
  <c r="C25" i="14"/>
  <c r="C24" i="14"/>
  <c r="C23" i="14"/>
  <c r="C22" i="14"/>
  <c r="C20" i="14"/>
  <c r="C19" i="14"/>
  <c r="C18" i="14"/>
  <c r="C17" i="14"/>
  <c r="C16" i="14"/>
  <c r="C15" i="14"/>
  <c r="C14" i="14"/>
  <c r="C13" i="14"/>
  <c r="C12" i="14"/>
  <c r="C11" i="14"/>
  <c r="C10" i="14"/>
  <c r="C9" i="14"/>
  <c r="C8" i="14"/>
  <c r="C7" i="14"/>
  <c r="C42" i="14" s="1"/>
  <c r="C81" i="13"/>
  <c r="C77" i="13"/>
  <c r="C76" i="13"/>
  <c r="C75" i="13"/>
  <c r="C73" i="13"/>
  <c r="C72" i="13"/>
  <c r="C70" i="13"/>
  <c r="C67" i="13"/>
  <c r="C66" i="13"/>
  <c r="C62" i="13"/>
  <c r="C61" i="13"/>
  <c r="C56" i="13"/>
  <c r="C53" i="13"/>
  <c r="C52" i="13"/>
  <c r="C51" i="13"/>
  <c r="C50" i="13"/>
  <c r="C48" i="13"/>
  <c r="C47" i="13"/>
  <c r="C46" i="13"/>
  <c r="R42" i="13"/>
  <c r="Q42" i="13"/>
  <c r="P42" i="13"/>
  <c r="O42" i="13"/>
  <c r="N42" i="13"/>
  <c r="M42" i="13"/>
  <c r="L42" i="13"/>
  <c r="K42" i="13"/>
  <c r="J42" i="13"/>
  <c r="I42" i="13"/>
  <c r="H42" i="13"/>
  <c r="G42" i="13"/>
  <c r="F42" i="13"/>
  <c r="E42" i="13"/>
  <c r="D42" i="13"/>
  <c r="B42" i="13"/>
  <c r="C41" i="13"/>
  <c r="C40" i="13"/>
  <c r="C39" i="13"/>
  <c r="C37" i="13"/>
  <c r="C36" i="13"/>
  <c r="C35" i="13"/>
  <c r="C34" i="13"/>
  <c r="C33" i="13"/>
  <c r="C31" i="13"/>
  <c r="C30" i="13"/>
  <c r="C29" i="13"/>
  <c r="C28" i="13"/>
  <c r="C27" i="13"/>
  <c r="C26" i="13"/>
  <c r="C25" i="13"/>
  <c r="C24" i="13"/>
  <c r="C23" i="13"/>
  <c r="C22" i="13"/>
  <c r="C20" i="13"/>
  <c r="C19" i="13"/>
  <c r="C18" i="13"/>
  <c r="C17" i="13"/>
  <c r="C16" i="13"/>
  <c r="C15" i="13"/>
  <c r="C14" i="13"/>
  <c r="C13" i="13"/>
  <c r="C12" i="13"/>
  <c r="C11" i="13"/>
  <c r="C10" i="13"/>
  <c r="C9" i="13"/>
  <c r="C8" i="13"/>
  <c r="C7" i="13"/>
  <c r="C42" i="13" s="1"/>
  <c r="C81" i="12"/>
  <c r="C77" i="12"/>
  <c r="C76" i="12"/>
  <c r="C75" i="12"/>
  <c r="C73" i="12"/>
  <c r="C72" i="12"/>
  <c r="C70" i="12"/>
  <c r="C67" i="12"/>
  <c r="C66" i="12"/>
  <c r="C62" i="12"/>
  <c r="C61" i="12"/>
  <c r="C56" i="12"/>
  <c r="C53" i="12"/>
  <c r="C52" i="12"/>
  <c r="C51" i="12"/>
  <c r="C50" i="12"/>
  <c r="C48" i="12"/>
  <c r="C47" i="12"/>
  <c r="C46" i="12"/>
  <c r="R42" i="12"/>
  <c r="Q42" i="12"/>
  <c r="P42" i="12"/>
  <c r="O42" i="12"/>
  <c r="N42" i="12"/>
  <c r="M42" i="12"/>
  <c r="L42" i="12"/>
  <c r="K42" i="12"/>
  <c r="J42" i="12"/>
  <c r="I42" i="12"/>
  <c r="H42" i="12"/>
  <c r="G42" i="12"/>
  <c r="F42" i="12"/>
  <c r="E42" i="12"/>
  <c r="D42" i="12"/>
  <c r="B42" i="12"/>
  <c r="C41" i="12"/>
  <c r="C40" i="12"/>
  <c r="C39" i="12"/>
  <c r="C37" i="12"/>
  <c r="C36" i="12"/>
  <c r="C35" i="12"/>
  <c r="C34" i="12"/>
  <c r="C33" i="12"/>
  <c r="C31" i="12"/>
  <c r="C30" i="12"/>
  <c r="C29" i="12"/>
  <c r="C28" i="12"/>
  <c r="C27" i="12"/>
  <c r="C26" i="12"/>
  <c r="C25" i="12"/>
  <c r="C24" i="12"/>
  <c r="C23" i="12"/>
  <c r="C22" i="12"/>
  <c r="C20" i="12"/>
  <c r="C19" i="12"/>
  <c r="C18" i="12"/>
  <c r="C17" i="12"/>
  <c r="C16" i="12"/>
  <c r="C15" i="12"/>
  <c r="C14" i="12"/>
  <c r="C13" i="12"/>
  <c r="C12" i="12"/>
  <c r="C11" i="12"/>
  <c r="C10" i="12"/>
  <c r="C9" i="12"/>
  <c r="C8" i="12"/>
  <c r="C7" i="12"/>
  <c r="C42" i="12" s="1"/>
  <c r="C81" i="11"/>
  <c r="C77" i="11"/>
  <c r="C76" i="11"/>
  <c r="C75" i="11"/>
  <c r="C73" i="11"/>
  <c r="C72" i="11"/>
  <c r="C70" i="11"/>
  <c r="C67" i="11"/>
  <c r="C66" i="11"/>
  <c r="C62" i="11"/>
  <c r="C61" i="11"/>
  <c r="C56" i="11"/>
  <c r="C53" i="11"/>
  <c r="C52" i="11"/>
  <c r="C51" i="11"/>
  <c r="C50" i="11"/>
  <c r="C48" i="11"/>
  <c r="C47" i="11"/>
  <c r="C46" i="11"/>
  <c r="R42" i="11"/>
  <c r="Q42" i="11"/>
  <c r="P42" i="11"/>
  <c r="O42" i="11"/>
  <c r="N42" i="11"/>
  <c r="M42" i="11"/>
  <c r="L42" i="11"/>
  <c r="K42" i="11"/>
  <c r="J42" i="11"/>
  <c r="I42" i="11"/>
  <c r="H42" i="11"/>
  <c r="G42" i="11"/>
  <c r="F42" i="11"/>
  <c r="E42" i="11"/>
  <c r="D42" i="11"/>
  <c r="B42" i="11"/>
  <c r="C41" i="11"/>
  <c r="C40" i="11"/>
  <c r="C39" i="11"/>
  <c r="C37" i="11"/>
  <c r="C36" i="11"/>
  <c r="C35" i="11"/>
  <c r="C34" i="11"/>
  <c r="C33" i="11"/>
  <c r="C31" i="11"/>
  <c r="C30" i="11"/>
  <c r="C29" i="11"/>
  <c r="C28" i="11"/>
  <c r="C27" i="11"/>
  <c r="C26" i="11"/>
  <c r="C25" i="11"/>
  <c r="C24" i="11"/>
  <c r="C23" i="11"/>
  <c r="C22" i="11"/>
  <c r="C20" i="11"/>
  <c r="C19" i="11"/>
  <c r="C18" i="11"/>
  <c r="C17" i="11"/>
  <c r="C16" i="11"/>
  <c r="C15" i="11"/>
  <c r="C14" i="11"/>
  <c r="C13" i="11"/>
  <c r="C12" i="11"/>
  <c r="C11" i="11"/>
  <c r="C10" i="11"/>
  <c r="C9" i="11"/>
  <c r="C8" i="11"/>
  <c r="C7" i="11"/>
  <c r="C42" i="11" s="1"/>
  <c r="C81" i="10"/>
  <c r="C77" i="10"/>
  <c r="C76" i="10"/>
  <c r="C75" i="10"/>
  <c r="C73" i="10"/>
  <c r="C72" i="10"/>
  <c r="C70" i="10"/>
  <c r="C67" i="10"/>
  <c r="C66" i="10"/>
  <c r="C62" i="10"/>
  <c r="C61" i="10"/>
  <c r="C56" i="10"/>
  <c r="C53" i="10"/>
  <c r="C52" i="10"/>
  <c r="C51" i="10"/>
  <c r="C50" i="10"/>
  <c r="C48" i="10"/>
  <c r="C47" i="10"/>
  <c r="C46" i="10"/>
  <c r="R42" i="10"/>
  <c r="Q42" i="10"/>
  <c r="P42" i="10"/>
  <c r="O42" i="10"/>
  <c r="N42" i="10"/>
  <c r="M42" i="10"/>
  <c r="L42" i="10"/>
  <c r="K42" i="10"/>
  <c r="J42" i="10"/>
  <c r="I42" i="10"/>
  <c r="H42" i="10"/>
  <c r="G42" i="10"/>
  <c r="F42" i="10"/>
  <c r="E42" i="10"/>
  <c r="D42" i="10"/>
  <c r="B42" i="10"/>
  <c r="C41" i="10"/>
  <c r="C40" i="10"/>
  <c r="C39" i="10"/>
  <c r="C37" i="10"/>
  <c r="C36" i="10"/>
  <c r="C35" i="10"/>
  <c r="C34" i="10"/>
  <c r="C33" i="10"/>
  <c r="C31" i="10"/>
  <c r="C30" i="10"/>
  <c r="C29" i="10"/>
  <c r="C28" i="10"/>
  <c r="C27" i="10"/>
  <c r="C26" i="10"/>
  <c r="C25" i="10"/>
  <c r="C24" i="10"/>
  <c r="C23" i="10"/>
  <c r="C22" i="10"/>
  <c r="C20" i="10"/>
  <c r="C19" i="10"/>
  <c r="C18" i="10"/>
  <c r="C17" i="10"/>
  <c r="C16" i="10"/>
  <c r="C15" i="10"/>
  <c r="C14" i="10"/>
  <c r="C13" i="10"/>
  <c r="C12" i="10"/>
  <c r="C11" i="10"/>
  <c r="C10" i="10"/>
  <c r="C9" i="10"/>
  <c r="C8" i="10"/>
  <c r="C7" i="10"/>
  <c r="C42" i="10" s="1"/>
  <c r="C81" i="9"/>
  <c r="C77" i="9"/>
  <c r="C76" i="9"/>
  <c r="C75" i="9"/>
  <c r="C73" i="9"/>
  <c r="C72" i="9"/>
  <c r="C70" i="9"/>
  <c r="C67" i="9"/>
  <c r="C66" i="9"/>
  <c r="C62" i="9"/>
  <c r="C61" i="9"/>
  <c r="C56" i="9"/>
  <c r="C53" i="9"/>
  <c r="C52" i="9"/>
  <c r="C51" i="9"/>
  <c r="C50" i="9"/>
  <c r="C48" i="9"/>
  <c r="C47" i="9"/>
  <c r="C46" i="9"/>
  <c r="R42" i="9"/>
  <c r="Q42" i="9"/>
  <c r="P42" i="9"/>
  <c r="O42" i="9"/>
  <c r="N42" i="9"/>
  <c r="M42" i="9"/>
  <c r="L42" i="9"/>
  <c r="K42" i="9"/>
  <c r="J42" i="9"/>
  <c r="I42" i="9"/>
  <c r="H42" i="9"/>
  <c r="G42" i="9"/>
  <c r="F42" i="9"/>
  <c r="E42" i="9"/>
  <c r="D42" i="9"/>
  <c r="B42" i="9"/>
  <c r="C41" i="9"/>
  <c r="C40" i="9"/>
  <c r="C39" i="9"/>
  <c r="C37" i="9"/>
  <c r="C36" i="9"/>
  <c r="C35" i="9"/>
  <c r="C34" i="9"/>
  <c r="C33" i="9"/>
  <c r="C31" i="9"/>
  <c r="C30" i="9"/>
  <c r="C29" i="9"/>
  <c r="C28" i="9"/>
  <c r="C27" i="9"/>
  <c r="C26" i="9"/>
  <c r="C25" i="9"/>
  <c r="C24" i="9"/>
  <c r="C23" i="9"/>
  <c r="C22" i="9"/>
  <c r="C20" i="9"/>
  <c r="C19" i="9"/>
  <c r="C18" i="9"/>
  <c r="C17" i="9"/>
  <c r="C16" i="9"/>
  <c r="C15" i="9"/>
  <c r="C14" i="9"/>
  <c r="C13" i="9"/>
  <c r="C12" i="9"/>
  <c r="C11" i="9"/>
  <c r="C10" i="9"/>
  <c r="C9" i="9"/>
  <c r="C8" i="9"/>
  <c r="C7" i="9"/>
  <c r="C42" i="9" s="1"/>
  <c r="C81" i="8"/>
  <c r="C77" i="8"/>
  <c r="C76" i="8"/>
  <c r="C75" i="8"/>
  <c r="C73" i="8"/>
  <c r="C72" i="8"/>
  <c r="C70" i="8"/>
  <c r="C67" i="8"/>
  <c r="C66" i="8"/>
  <c r="C62" i="8"/>
  <c r="C61" i="8"/>
  <c r="C56" i="8"/>
  <c r="C53" i="8"/>
  <c r="C52" i="8"/>
  <c r="C51" i="8"/>
  <c r="C50" i="8"/>
  <c r="C48" i="8"/>
  <c r="C47" i="8"/>
  <c r="C46" i="8"/>
  <c r="R42" i="8"/>
  <c r="Q42" i="8"/>
  <c r="P42" i="8"/>
  <c r="O42" i="8"/>
  <c r="N42" i="8"/>
  <c r="M42" i="8"/>
  <c r="L42" i="8"/>
  <c r="K42" i="8"/>
  <c r="J42" i="8"/>
  <c r="I42" i="8"/>
  <c r="H42" i="8"/>
  <c r="G42" i="8"/>
  <c r="F42" i="8"/>
  <c r="E42" i="8"/>
  <c r="D42" i="8"/>
  <c r="B42" i="8"/>
  <c r="C41" i="8"/>
  <c r="C40" i="8"/>
  <c r="C39" i="8"/>
  <c r="C37" i="8"/>
  <c r="C36" i="8"/>
  <c r="C35" i="8"/>
  <c r="C34" i="8"/>
  <c r="C33" i="8"/>
  <c r="C31" i="8"/>
  <c r="C30" i="8"/>
  <c r="C29" i="8"/>
  <c r="C28" i="8"/>
  <c r="C27" i="8"/>
  <c r="C26" i="8"/>
  <c r="C25" i="8"/>
  <c r="C24" i="8"/>
  <c r="C23" i="8"/>
  <c r="C22" i="8"/>
  <c r="C20" i="8"/>
  <c r="C19" i="8"/>
  <c r="C18" i="8"/>
  <c r="C17" i="8"/>
  <c r="C16" i="8"/>
  <c r="C15" i="8"/>
  <c r="C14" i="8"/>
  <c r="C13" i="8"/>
  <c r="C12" i="8"/>
  <c r="C11" i="8"/>
  <c r="C10" i="8"/>
  <c r="C9" i="8"/>
  <c r="C8" i="8"/>
  <c r="C7" i="8"/>
  <c r="C42" i="8" s="1"/>
  <c r="C81" i="7"/>
  <c r="C77" i="7"/>
  <c r="C76" i="7"/>
  <c r="C75" i="7"/>
  <c r="C73" i="7"/>
  <c r="C72" i="7"/>
  <c r="C70" i="7"/>
  <c r="C67" i="7"/>
  <c r="C66" i="7"/>
  <c r="C62" i="7"/>
  <c r="C61" i="7"/>
  <c r="C56" i="7"/>
  <c r="C53" i="7"/>
  <c r="C52" i="7"/>
  <c r="C51" i="7"/>
  <c r="C50" i="7"/>
  <c r="C48" i="7"/>
  <c r="C47" i="7"/>
  <c r="C46" i="7"/>
  <c r="R42" i="7"/>
  <c r="Q42" i="7"/>
  <c r="P42" i="7"/>
  <c r="O42" i="7"/>
  <c r="N42" i="7"/>
  <c r="M42" i="7"/>
  <c r="L42" i="7"/>
  <c r="K42" i="7"/>
  <c r="J42" i="7"/>
  <c r="I42" i="7"/>
  <c r="H42" i="7"/>
  <c r="G42" i="7"/>
  <c r="F42" i="7"/>
  <c r="E42" i="7"/>
  <c r="D42" i="7"/>
  <c r="B42" i="7"/>
  <c r="C41" i="7"/>
  <c r="C40" i="7"/>
  <c r="C39" i="7"/>
  <c r="C37" i="7"/>
  <c r="C36" i="7"/>
  <c r="C35" i="7"/>
  <c r="C34" i="7"/>
  <c r="C33" i="7"/>
  <c r="C31" i="7"/>
  <c r="C30" i="7"/>
  <c r="C29" i="7"/>
  <c r="C28" i="7"/>
  <c r="C27" i="7"/>
  <c r="C26" i="7"/>
  <c r="C25" i="7"/>
  <c r="C24" i="7"/>
  <c r="C23" i="7"/>
  <c r="C22" i="7"/>
  <c r="C20" i="7"/>
  <c r="C19" i="7"/>
  <c r="C18" i="7"/>
  <c r="C17" i="7"/>
  <c r="C16" i="7"/>
  <c r="C15" i="7"/>
  <c r="C14" i="7"/>
  <c r="C13" i="7"/>
  <c r="C12" i="7"/>
  <c r="C11" i="7"/>
  <c r="C10" i="7"/>
  <c r="C9" i="7"/>
  <c r="C8" i="7"/>
  <c r="C7" i="7"/>
  <c r="C42" i="7" s="1"/>
  <c r="C81" i="6"/>
  <c r="C77" i="6"/>
  <c r="C76" i="6"/>
  <c r="C75" i="6"/>
  <c r="C73" i="6"/>
  <c r="C72" i="6"/>
  <c r="C70" i="6"/>
  <c r="C67" i="6"/>
  <c r="C66" i="6"/>
  <c r="C62" i="6"/>
  <c r="C61" i="6"/>
  <c r="C56" i="6"/>
  <c r="C53" i="6"/>
  <c r="C52" i="6"/>
  <c r="C51" i="6"/>
  <c r="C50" i="6"/>
  <c r="C48" i="6"/>
  <c r="C47" i="6"/>
  <c r="C46" i="6"/>
  <c r="R42" i="6"/>
  <c r="Q42" i="6"/>
  <c r="P42" i="6"/>
  <c r="O42" i="6"/>
  <c r="N42" i="6"/>
  <c r="M42" i="6"/>
  <c r="L42" i="6"/>
  <c r="K42" i="6"/>
  <c r="J42" i="6"/>
  <c r="I42" i="6"/>
  <c r="H42" i="6"/>
  <c r="G42" i="6"/>
  <c r="F42" i="6"/>
  <c r="E42" i="6"/>
  <c r="D42" i="6"/>
  <c r="B42" i="6"/>
  <c r="C41" i="6"/>
  <c r="C40" i="6"/>
  <c r="C39" i="6"/>
  <c r="C37" i="6"/>
  <c r="C36" i="6"/>
  <c r="C35" i="6"/>
  <c r="C34" i="6"/>
  <c r="C33" i="6"/>
  <c r="C31" i="6"/>
  <c r="C30" i="6"/>
  <c r="C29" i="6"/>
  <c r="C28" i="6"/>
  <c r="C27" i="6"/>
  <c r="C26" i="6"/>
  <c r="C25" i="6"/>
  <c r="C24" i="6"/>
  <c r="C23" i="6"/>
  <c r="C22" i="6"/>
  <c r="C20" i="6"/>
  <c r="C19" i="6"/>
  <c r="C18" i="6"/>
  <c r="C17" i="6"/>
  <c r="C16" i="6"/>
  <c r="C15" i="6"/>
  <c r="C14" i="6"/>
  <c r="C13" i="6"/>
  <c r="C12" i="6"/>
  <c r="C11" i="6"/>
  <c r="C10" i="6"/>
  <c r="C9" i="6"/>
  <c r="C8" i="6"/>
  <c r="C7" i="6"/>
  <c r="C42" i="6" s="1"/>
  <c r="C81" i="5"/>
  <c r="C77" i="5"/>
  <c r="C76" i="5"/>
  <c r="C75" i="5"/>
  <c r="C73" i="5"/>
  <c r="C72" i="5"/>
  <c r="C70" i="5"/>
  <c r="C67" i="5"/>
  <c r="C66" i="5"/>
  <c r="C62" i="5"/>
  <c r="C61" i="5"/>
  <c r="C56" i="5"/>
  <c r="C53" i="5"/>
  <c r="C52" i="5"/>
  <c r="C51" i="5"/>
  <c r="C50" i="5"/>
  <c r="C48" i="5"/>
  <c r="C47" i="5"/>
  <c r="C46" i="5"/>
  <c r="R42" i="5"/>
  <c r="Q42" i="5"/>
  <c r="P42" i="5"/>
  <c r="O42" i="5"/>
  <c r="N42" i="5"/>
  <c r="M42" i="5"/>
  <c r="L42" i="5"/>
  <c r="K42" i="5"/>
  <c r="J42" i="5"/>
  <c r="I42" i="5"/>
  <c r="H42" i="5"/>
  <c r="G42" i="5"/>
  <c r="F42" i="5"/>
  <c r="E42" i="5"/>
  <c r="D42" i="5"/>
  <c r="B42" i="5"/>
  <c r="C41" i="5"/>
  <c r="C40" i="5"/>
  <c r="C39" i="5"/>
  <c r="C37" i="5"/>
  <c r="C36" i="5"/>
  <c r="C35" i="5"/>
  <c r="C34" i="5"/>
  <c r="C33" i="5"/>
  <c r="C31" i="5"/>
  <c r="C30" i="5"/>
  <c r="C29" i="5"/>
  <c r="C28" i="5"/>
  <c r="C27" i="5"/>
  <c r="C26" i="5"/>
  <c r="C25" i="5"/>
  <c r="C24" i="5"/>
  <c r="C23" i="5"/>
  <c r="C22" i="5"/>
  <c r="C20" i="5"/>
  <c r="C19" i="5"/>
  <c r="C18" i="5"/>
  <c r="C17" i="5"/>
  <c r="C16" i="5"/>
  <c r="C15" i="5"/>
  <c r="C14" i="5"/>
  <c r="C13" i="5"/>
  <c r="C12" i="5"/>
  <c r="C11" i="5"/>
  <c r="C10" i="5"/>
  <c r="C9" i="5"/>
  <c r="C8" i="5"/>
  <c r="C7" i="5"/>
  <c r="C42" i="5" s="1"/>
  <c r="C81" i="4"/>
  <c r="C77" i="4"/>
  <c r="C76" i="4"/>
  <c r="C75" i="4"/>
  <c r="C73" i="4"/>
  <c r="C72" i="4"/>
  <c r="C70" i="4"/>
  <c r="C67" i="4"/>
  <c r="C66" i="4"/>
  <c r="C62" i="4"/>
  <c r="C61" i="4"/>
  <c r="C56" i="4"/>
  <c r="C53" i="4"/>
  <c r="C52" i="4"/>
  <c r="C51" i="4"/>
  <c r="C50" i="4"/>
  <c r="C48" i="4"/>
  <c r="C47" i="4"/>
  <c r="C46" i="4"/>
  <c r="R42" i="4"/>
  <c r="Q42" i="4"/>
  <c r="P42" i="4"/>
  <c r="O42" i="4"/>
  <c r="N42" i="4"/>
  <c r="M42" i="4"/>
  <c r="L42" i="4"/>
  <c r="K42" i="4"/>
  <c r="J42" i="4"/>
  <c r="I42" i="4"/>
  <c r="H42" i="4"/>
  <c r="G42" i="4"/>
  <c r="F42" i="4"/>
  <c r="E42" i="4"/>
  <c r="D42" i="4"/>
  <c r="B42" i="4"/>
  <c r="C41" i="4"/>
  <c r="C40" i="4"/>
  <c r="C39" i="4"/>
  <c r="C37" i="4"/>
  <c r="C36" i="4"/>
  <c r="C35" i="4"/>
  <c r="C34" i="4"/>
  <c r="C33" i="4"/>
  <c r="C31" i="4"/>
  <c r="C30" i="4"/>
  <c r="C29" i="4"/>
  <c r="C28" i="4"/>
  <c r="C27" i="4"/>
  <c r="C26" i="4"/>
  <c r="C25" i="4"/>
  <c r="C24" i="4"/>
  <c r="C23" i="4"/>
  <c r="C22" i="4"/>
  <c r="C20" i="4"/>
  <c r="C19" i="4"/>
  <c r="C18" i="4"/>
  <c r="C17" i="4"/>
  <c r="C16" i="4"/>
  <c r="C15" i="4"/>
  <c r="C14" i="4"/>
  <c r="C13" i="4"/>
  <c r="C12" i="4"/>
  <c r="C11" i="4"/>
  <c r="C10" i="4"/>
  <c r="C9" i="4"/>
  <c r="C8" i="4"/>
  <c r="C7" i="4"/>
  <c r="C42" i="4" s="1"/>
  <c r="C81" i="3"/>
  <c r="C77" i="3"/>
  <c r="C76" i="3"/>
  <c r="C75" i="3"/>
  <c r="C73" i="3"/>
  <c r="C72" i="3"/>
  <c r="C70" i="3"/>
  <c r="C67" i="3"/>
  <c r="C66" i="3"/>
  <c r="C62" i="3"/>
  <c r="C61" i="3"/>
  <c r="C56" i="3"/>
  <c r="C53" i="3"/>
  <c r="C52" i="3"/>
  <c r="C51" i="3"/>
  <c r="C50" i="3"/>
  <c r="C48" i="3"/>
  <c r="C47" i="3"/>
  <c r="C46" i="3"/>
  <c r="R42" i="3"/>
  <c r="Q42" i="3"/>
  <c r="P42" i="3"/>
  <c r="O42" i="3"/>
  <c r="N42" i="3"/>
  <c r="M42" i="3"/>
  <c r="L42" i="3"/>
  <c r="K42" i="3"/>
  <c r="J42" i="3"/>
  <c r="I42" i="3"/>
  <c r="H42" i="3"/>
  <c r="G42" i="3"/>
  <c r="F42" i="3"/>
  <c r="E42" i="3"/>
  <c r="D42" i="3"/>
  <c r="B42" i="3"/>
  <c r="C41" i="3"/>
  <c r="C40" i="3"/>
  <c r="C39" i="3"/>
  <c r="C37" i="3"/>
  <c r="C36" i="3"/>
  <c r="C35" i="3"/>
  <c r="C34" i="3"/>
  <c r="C33" i="3"/>
  <c r="C31" i="3"/>
  <c r="C30" i="3"/>
  <c r="C29" i="3"/>
  <c r="C28" i="3"/>
  <c r="C27" i="3"/>
  <c r="C26" i="3"/>
  <c r="C25" i="3"/>
  <c r="C24" i="3"/>
  <c r="C23" i="3"/>
  <c r="C22" i="3"/>
  <c r="C20" i="3"/>
  <c r="C19" i="3"/>
  <c r="C18" i="3"/>
  <c r="C17" i="3"/>
  <c r="C16" i="3"/>
  <c r="C15" i="3"/>
  <c r="C14" i="3"/>
  <c r="C13" i="3"/>
  <c r="C12" i="3"/>
  <c r="C11" i="3"/>
  <c r="C10" i="3"/>
  <c r="C9" i="3"/>
  <c r="C8" i="3"/>
  <c r="C7" i="3"/>
  <c r="C42" i="3" s="1"/>
  <c r="C81" i="2"/>
  <c r="C77" i="2"/>
  <c r="C76" i="2"/>
  <c r="C75" i="2"/>
  <c r="C73" i="2"/>
  <c r="C72" i="2"/>
  <c r="C70" i="2"/>
  <c r="C67" i="2"/>
  <c r="C66" i="2"/>
  <c r="C62" i="2"/>
  <c r="C61" i="2"/>
  <c r="C56" i="2"/>
  <c r="C53" i="2"/>
  <c r="C52" i="2"/>
  <c r="C51" i="2"/>
  <c r="C50" i="2"/>
  <c r="C48" i="2"/>
  <c r="C47" i="2"/>
  <c r="C46" i="2"/>
  <c r="R42" i="2"/>
  <c r="Q42" i="2"/>
  <c r="P42" i="2"/>
  <c r="O42" i="2"/>
  <c r="N42" i="2"/>
  <c r="M42" i="2"/>
  <c r="L42" i="2"/>
  <c r="K42" i="2"/>
  <c r="J42" i="2"/>
  <c r="I42" i="2"/>
  <c r="H42" i="2"/>
  <c r="G42" i="2"/>
  <c r="F42" i="2"/>
  <c r="E42" i="2"/>
  <c r="D42" i="2"/>
  <c r="B42" i="2"/>
  <c r="C41" i="2"/>
  <c r="C40" i="2"/>
  <c r="C39" i="2"/>
  <c r="C37" i="2"/>
  <c r="C36" i="2"/>
  <c r="C35" i="2"/>
  <c r="C34" i="2"/>
  <c r="C33" i="2"/>
  <c r="C31" i="2"/>
  <c r="C30" i="2"/>
  <c r="C29" i="2"/>
  <c r="C28" i="2"/>
  <c r="C27" i="2"/>
  <c r="C26" i="2"/>
  <c r="C25" i="2"/>
  <c r="C24" i="2"/>
  <c r="C23" i="2"/>
  <c r="C22" i="2"/>
  <c r="C20" i="2"/>
  <c r="C19" i="2"/>
  <c r="C18" i="2"/>
  <c r="C17" i="2"/>
  <c r="C16" i="2"/>
  <c r="C15" i="2"/>
  <c r="C14" i="2"/>
  <c r="C13" i="2"/>
  <c r="C12" i="2"/>
  <c r="C11" i="2"/>
  <c r="C10" i="2"/>
  <c r="C9" i="2"/>
  <c r="C8" i="2"/>
  <c r="C7" i="2"/>
  <c r="C42" i="2" s="1"/>
</calcChain>
</file>

<file path=xl/sharedStrings.xml><?xml version="1.0" encoding="utf-8"?>
<sst xmlns="http://schemas.openxmlformats.org/spreadsheetml/2006/main" count="75667" uniqueCount="359">
  <si>
    <t>Table of Contents</t>
  </si>
  <si>
    <t>CC104101</t>
  </si>
  <si>
    <t>CC104102</t>
  </si>
  <si>
    <t>CC104103</t>
  </si>
  <si>
    <t>CC104104</t>
  </si>
  <si>
    <t>CC104105</t>
  </si>
  <si>
    <t>CC104106</t>
  </si>
  <si>
    <t>CC104107</t>
  </si>
  <si>
    <t>CC104201</t>
  </si>
  <si>
    <t>CC104202</t>
  </si>
  <si>
    <t>CC104203</t>
  </si>
  <si>
    <t>CC104204</t>
  </si>
  <si>
    <t>CC104205</t>
  </si>
  <si>
    <t>CC104206</t>
  </si>
  <si>
    <t>CC104301C</t>
  </si>
  <si>
    <t>CC104303</t>
  </si>
  <si>
    <t>CC104305</t>
  </si>
  <si>
    <t>CC104306</t>
  </si>
  <si>
    <t>CC106101</t>
  </si>
  <si>
    <t>CC106102</t>
  </si>
  <si>
    <t>CC106103</t>
  </si>
  <si>
    <t>CC106104</t>
  </si>
  <si>
    <t>CC106105</t>
  </si>
  <si>
    <t>CC106106</t>
  </si>
  <si>
    <t>CC106107C</t>
  </si>
  <si>
    <t>CC106201</t>
  </si>
  <si>
    <t>CC106202</t>
  </si>
  <si>
    <t>CC106203</t>
  </si>
  <si>
    <t>CC106204</t>
  </si>
  <si>
    <t>CC106205</t>
  </si>
  <si>
    <t>CC106206</t>
  </si>
  <si>
    <t>CC106207</t>
  </si>
  <si>
    <t>CC106208</t>
  </si>
  <si>
    <t>CC106209</t>
  </si>
  <si>
    <t>CC106301</t>
  </si>
  <si>
    <t>CC106302</t>
  </si>
  <si>
    <t>CC106303</t>
  </si>
  <si>
    <t>CC106304</t>
  </si>
  <si>
    <t>CC106305</t>
  </si>
  <si>
    <t>CC106306</t>
  </si>
  <si>
    <t>CC106307</t>
  </si>
  <si>
    <t>CC102101</t>
  </si>
  <si>
    <t>CC102102C</t>
  </si>
  <si>
    <t>CC102201</t>
  </si>
  <si>
    <t>CC102202</t>
  </si>
  <si>
    <t>CC102203</t>
  </si>
  <si>
    <t>CC102204</t>
  </si>
  <si>
    <t>CC102205</t>
  </si>
  <si>
    <t>CC102206</t>
  </si>
  <si>
    <t>CC102207</t>
  </si>
  <si>
    <t>CC102208</t>
  </si>
  <si>
    <t>CC102209C</t>
  </si>
  <si>
    <t>CC102212</t>
  </si>
  <si>
    <t>CC102213</t>
  </si>
  <si>
    <t>CC103101</t>
  </si>
  <si>
    <t>CC103102</t>
  </si>
  <si>
    <t>CC103103</t>
  </si>
  <si>
    <t>CC103104</t>
  </si>
  <si>
    <t>CC103105</t>
  </si>
  <si>
    <t>CC103106</t>
  </si>
  <si>
    <t>CC103107</t>
  </si>
  <si>
    <t>CC103108C</t>
  </si>
  <si>
    <t>CC103201</t>
  </si>
  <si>
    <t>CC103202</t>
  </si>
  <si>
    <t>CC103203</t>
  </si>
  <si>
    <t>CC103204</t>
  </si>
  <si>
    <t>CC103205</t>
  </si>
  <si>
    <t>CC103206</t>
  </si>
  <si>
    <t>CC103207</t>
  </si>
  <si>
    <t>CC103209</t>
  </si>
  <si>
    <t>CC103210</t>
  </si>
  <si>
    <t>CC103211</t>
  </si>
  <si>
    <t>CC103301</t>
  </si>
  <si>
    <t>CC103302</t>
  </si>
  <si>
    <t>CC103303</t>
  </si>
  <si>
    <t>CC103304</t>
  </si>
  <si>
    <t>CC103305</t>
  </si>
  <si>
    <t>CC103306</t>
  </si>
  <si>
    <t>CC103307</t>
  </si>
  <si>
    <t>CC103308</t>
  </si>
  <si>
    <t>CC103309</t>
  </si>
  <si>
    <t>CC100101</t>
  </si>
  <si>
    <t>CC100102</t>
  </si>
  <si>
    <t>CC100103</t>
  </si>
  <si>
    <t>CC100104</t>
  </si>
  <si>
    <t>CC100105</t>
  </si>
  <si>
    <t>CC100201</t>
  </si>
  <si>
    <t>CC100202</t>
  </si>
  <si>
    <t>CC100203</t>
  </si>
  <si>
    <t>CC100301</t>
  </si>
  <si>
    <t>CC100302</t>
  </si>
  <si>
    <t>CC100401</t>
  </si>
  <si>
    <t>CC100402</t>
  </si>
  <si>
    <t>CC105101</t>
  </si>
  <si>
    <t>CC105102</t>
  </si>
  <si>
    <t>CC105103C</t>
  </si>
  <si>
    <t>CC105105C</t>
  </si>
  <si>
    <t>CC105108C</t>
  </si>
  <si>
    <t>CC105201C</t>
  </si>
  <si>
    <t>CC105203C</t>
  </si>
  <si>
    <t>CC105205</t>
  </si>
  <si>
    <t>CC105206</t>
  </si>
  <si>
    <t>CC105207</t>
  </si>
  <si>
    <t>CC105208C</t>
  </si>
  <si>
    <t>CC105211</t>
  </si>
  <si>
    <t>CC105212C</t>
  </si>
  <si>
    <t>CC105214</t>
  </si>
  <si>
    <t>CC105301</t>
  </si>
  <si>
    <t>CC105302</t>
  </si>
  <si>
    <t>CC105303</t>
  </si>
  <si>
    <t>CC105304C</t>
  </si>
  <si>
    <t>CC105306</t>
  </si>
  <si>
    <t>CC105307</t>
  </si>
  <si>
    <t>CC105308C</t>
  </si>
  <si>
    <t>CC105401</t>
  </si>
  <si>
    <t>CC105402</t>
  </si>
  <si>
    <t>CC105403</t>
  </si>
  <si>
    <t>CC105404</t>
  </si>
  <si>
    <t>CC105405</t>
  </si>
  <si>
    <t>CC105406</t>
  </si>
  <si>
    <t>CC105407</t>
  </si>
  <si>
    <t>CC105408C</t>
  </si>
  <si>
    <t>Cognitive items: Overall Collaborative Problem Solving for female students</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</si>
  <si>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</si>
  <si>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</si>
  <si>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</si>
  <si>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</si>
  <si>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</si>
  <si>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</si>
  <si>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</si>
  <si>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</si>
  <si>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</si>
  <si>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</si>
  <si>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</si>
  <si>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</si>
  <si>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</si>
  <si>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</si>
  <si>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</si>
  <si>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</si>
  <si>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</si>
  <si>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</si>
  <si>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</si>
  <si>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</si>
  <si>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</si>
  <si>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</si>
  <si>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</si>
  <si>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</si>
  <si>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</si>
  <si>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</si>
  <si>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</si>
  <si>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</si>
  <si>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</si>
  <si>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</si>
  <si>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</si>
  <si>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n/a</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</si>
  <si>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</si>
  <si>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</si>
  <si>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</si>
  <si>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</si>
  <si>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</si>
  <si>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</si>
  <si>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</si>
  <si>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</si>
  <si>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</si>
  <si>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</si>
  <si>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</si>
  <si>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</si>
  <si>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</si>
  <si>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</si>
  <si>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</si>
  <si>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</si>
  <si>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</si>
  <si>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</si>
  <si>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</si>
  <si>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</si>
  <si>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</si>
  <si>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</si>
  <si>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</si>
  <si>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</si>
  <si>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</si>
  <si>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</si>
  <si>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</si>
  <si>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</si>
  <si>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</si>
  <si>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</si>
  <si>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</si>
  <si>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</si>
  <si>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</si>
  <si>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</si>
  <si>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</si>
  <si>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</si>
  <si>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</si>
  <si>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</si>
  <si>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</si>
  <si>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</si>
  <si>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</si>
  <si>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</si>
  <si>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</si>
  <si>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</si>
  <si>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</si>
  <si>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</si>
  <si>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</si>
  <si>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</si>
  <si>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</si>
  <si>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</si>
  <si>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</si>
  <si>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</si>
  <si>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</si>
  <si>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</si>
  <si>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</si>
  <si>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</si>
  <si>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</si>
  <si>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</si>
  <si>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</si>
  <si>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</si>
  <si>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</si>
  <si>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</si>
  <si>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</si>
  <si>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</si>
  <si>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</si>
  <si>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</si>
  <si>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</si>
  <si>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</si>
  <si>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</si>
  <si>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</si>
  <si>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</si>
  <si>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</si>
  <si>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</si>
  <si>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</si>
  <si>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No Credit</t>
  </si>
  <si>
    <t>Partial Credit1</t>
  </si>
  <si>
    <t>Partial Credit2</t>
  </si>
  <si>
    <t>Full Credit</t>
  </si>
  <si>
    <t>1 - Partial credit</t>
  </si>
  <si>
    <t>2 - Full credit</t>
  </si>
  <si>
    <t>Partial Credit3</t>
  </si>
  <si>
    <t>2 - Partial credit</t>
  </si>
  <si>
    <t>3 - Full credit</t>
  </si>
  <si>
    <t>CC106101: Making a Film</t>
  </si>
  <si>
    <t>CC106102: Making a Film</t>
  </si>
  <si>
    <t>CC104101: Meeting in the Park</t>
  </si>
  <si>
    <t>CC104102: Meeting in the Park</t>
  </si>
  <si>
    <t>CC104103: Meeting in the Park</t>
  </si>
  <si>
    <t>CC104104: Meeting in the Park</t>
  </si>
  <si>
    <t>CC104105: Meeting in the Park</t>
  </si>
  <si>
    <t>CC104106: Meeting in the Park</t>
  </si>
  <si>
    <t>CC104107: Meeting in the Park</t>
  </si>
  <si>
    <t>CC104201: Meeting in the Park</t>
  </si>
  <si>
    <t>CC104202: Meeting in the Park</t>
  </si>
  <si>
    <t>CC104203: Meeting in the Park</t>
  </si>
  <si>
    <t>CC104204: Meeting in the Park</t>
  </si>
  <si>
    <t>CC104205: Meeting in the Park</t>
  </si>
  <si>
    <t>CC104206: Meeting in the Park</t>
  </si>
  <si>
    <t>CC104301C (SUM CC104301+CC104302+CC104304): Meeting in the Park</t>
  </si>
  <si>
    <t>CC104303: Meeting in the Park</t>
  </si>
  <si>
    <t>CC104305: Meeting in the Park</t>
  </si>
  <si>
    <t>CC104306: Meeting in the Park</t>
  </si>
  <si>
    <t>CC106103: Making a Film</t>
  </si>
  <si>
    <t>CC106104: Making a Film</t>
  </si>
  <si>
    <t>CC106105: Making a Film</t>
  </si>
  <si>
    <t>CC106106: Making a Film</t>
  </si>
  <si>
    <t>CC106107C (SUM CC106107+CC106108): Making a Film</t>
  </si>
  <si>
    <t>CC106201: Making a Film</t>
  </si>
  <si>
    <t>CC106202: Making a Film</t>
  </si>
  <si>
    <t>CC106203: Making a Film</t>
  </si>
  <si>
    <t>CC106204: Making a Film</t>
  </si>
  <si>
    <t>CC106205: Making a Film</t>
  </si>
  <si>
    <t>CC106206: Making a Film</t>
  </si>
  <si>
    <t>CC106207: Making a Film</t>
  </si>
  <si>
    <t>CC106208: Making a Film</t>
  </si>
  <si>
    <t>CC106209: Making a Film</t>
  </si>
  <si>
    <t>CC106301: Making a Film</t>
  </si>
  <si>
    <t>CC106302: Making a Film</t>
  </si>
  <si>
    <t>CC106303: Making a Film</t>
  </si>
  <si>
    <t>CC106304: Making a Film</t>
  </si>
  <si>
    <t>CC106305: Making a Film</t>
  </si>
  <si>
    <t>CC106306: Making a Film</t>
  </si>
  <si>
    <t>CC106307: Making a Film</t>
  </si>
  <si>
    <t>CC102101: Field Trip</t>
  </si>
  <si>
    <t>CC102102C (SUM CC102102+CC102103): Field Trip</t>
  </si>
  <si>
    <t>CC102201: Field Trip</t>
  </si>
  <si>
    <t>CC102202: Field Trip</t>
  </si>
  <si>
    <t>CC102203: Field Trip</t>
  </si>
  <si>
    <t>CC102204: Field Trip</t>
  </si>
  <si>
    <t>CC102205: Field Trip</t>
  </si>
  <si>
    <t>CC102206: Field Trip</t>
  </si>
  <si>
    <t>CC102207: Field Trip</t>
  </si>
  <si>
    <t>CC102208: Field Trip</t>
  </si>
  <si>
    <t>CC102209C (SUM CC102209+CC102210+CC102211): Field Trip</t>
  </si>
  <si>
    <t>CC102212: Field Trip</t>
  </si>
  <si>
    <t>CC102213: Field Trip</t>
  </si>
  <si>
    <t>CC103101: Preparing a Presentation</t>
  </si>
  <si>
    <t>CC103102: Preparing a Presentation</t>
  </si>
  <si>
    <t>CC103103: Preparing a Presentation</t>
  </si>
  <si>
    <t>CC103104: Preparing a Presentation</t>
  </si>
  <si>
    <t>CC103105: Preparing a Presentation</t>
  </si>
  <si>
    <t>CC103106: Preparing a Presentation</t>
  </si>
  <si>
    <t>CC103107: Preparing a Presentation</t>
  </si>
  <si>
    <t>CC103108C (SUM CC103108+CC103109+CC103110+CC103111): Preparing a Presentation</t>
  </si>
  <si>
    <t>CC103201: Preparing a Presentation</t>
  </si>
  <si>
    <t>CC103202: Preparing a Presentation</t>
  </si>
  <si>
    <t>CC103203: Preparing a Presentation</t>
  </si>
  <si>
    <t>CC103204: Preparing a Presentation</t>
  </si>
  <si>
    <t>CC103205: Preparing a Presentation</t>
  </si>
  <si>
    <t>CC103206: Preparing a Presentation</t>
  </si>
  <si>
    <t>CC103207: Preparing a Presentation</t>
  </si>
  <si>
    <t>CC103209: Preparing a Presentation</t>
  </si>
  <si>
    <t>CC103210: Preparing a Presentation</t>
  </si>
  <si>
    <t>CC103211: Preparing a Presentation</t>
  </si>
  <si>
    <t>CC103301: Preparing a Presentation</t>
  </si>
  <si>
    <t>CC103302: Preparing a Presentation</t>
  </si>
  <si>
    <t>CC103303: Preparing a Presentation</t>
  </si>
  <si>
    <t>CC103304: Preparing a Presentation</t>
  </si>
  <si>
    <t>CC103305: Preparing a Presentation</t>
  </si>
  <si>
    <t>CC103306: Preparing a Presentation</t>
  </si>
  <si>
    <t>CC103307: Preparing a Presentation</t>
  </si>
  <si>
    <t>CC103308: Preparing a Presentation</t>
  </si>
  <si>
    <t>CC103309: Preparing a Presentation</t>
  </si>
  <si>
    <t>CC100101: Xandar</t>
  </si>
  <si>
    <t>CC100102: Xandar</t>
  </si>
  <si>
    <t>CC100103: Xandar</t>
  </si>
  <si>
    <t>CC100104: Xandar</t>
  </si>
  <si>
    <t>CC100105: Xandar</t>
  </si>
  <si>
    <t>CC100201: Xandar</t>
  </si>
  <si>
    <t>CC100202: Xandar</t>
  </si>
  <si>
    <t>CC100203: Xandar</t>
  </si>
  <si>
    <t>CC100301: Xandar</t>
  </si>
  <si>
    <t>CC100302: Xandar</t>
  </si>
  <si>
    <t>CC100401: Xandar</t>
  </si>
  <si>
    <t>CC100402: Xandar</t>
  </si>
  <si>
    <t>CC105101: The Garden</t>
  </si>
  <si>
    <t>CC105102: The Garden</t>
  </si>
  <si>
    <t>CC105103C (CC105103+CC105104): The Garden</t>
  </si>
  <si>
    <t>CC105105C (CC105105+CC105106+CC105107): The Garden</t>
  </si>
  <si>
    <t>CC105108C (SUM CC105108+CC105109): The Garden</t>
  </si>
  <si>
    <t>CC105201C (CC105201+CC105202): The Garden</t>
  </si>
  <si>
    <t>CC105203C (SUM CC105203+CC105204): The Garden</t>
  </si>
  <si>
    <t>CC105205: The Garden</t>
  </si>
  <si>
    <t>CC105206: The Garden</t>
  </si>
  <si>
    <t>CC105207: The Garden</t>
  </si>
  <si>
    <t>CC105208C (CC105208+CC105209+CC105210): The Garden</t>
  </si>
  <si>
    <t>CC105211: The Garden</t>
  </si>
  <si>
    <t>CC105212C (CC105212+CC105213): The Garden</t>
  </si>
  <si>
    <t>CC105214: The Garden</t>
  </si>
  <si>
    <t>CC105301: The Garden</t>
  </si>
  <si>
    <t>CC105302: The Garden</t>
  </si>
  <si>
    <t>CC105303: The Garden</t>
  </si>
  <si>
    <t>CC105304C (CC105304+CC105305): The Garden</t>
  </si>
  <si>
    <t>CC105306: The Garden</t>
  </si>
  <si>
    <t>CC105307: The Garden</t>
  </si>
  <si>
    <t>CC105308C (SUM CC105308+CC105309): The Garden</t>
  </si>
  <si>
    <t>CC105401: The Garden</t>
  </si>
  <si>
    <t>CC105402: The Garden</t>
  </si>
  <si>
    <t>CC105403: The Garden</t>
  </si>
  <si>
    <t>CC105404: The Garden</t>
  </si>
  <si>
    <t>CC105405: The Garden</t>
  </si>
  <si>
    <t>CC105406: The Garden</t>
  </si>
  <si>
    <t>CC105407: The Garden</t>
  </si>
  <si>
    <t>CC105408C (SUM CC105408+CC105409): The Garden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</si>
</sst>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4" x14ac:knownFonts="1">
    <font>
      <sz val="11"/>
      <color theme="1"/>
      <name val="Calibri"/>
      <family val="2"/>
      <scheme val="minor"/>
    </font>
    <font>
      <b/>
      <sz val="10"/>
      <color rgb="FF000000"/>
      <name val="Arial"/>
      <family val="2"/>
    </font>
    <font>
      <u/>
      <sz val="10"/>
      <color rgb="FF0000FF"/>
      <name val="Arial"/>
      <family val="2"/>
    </font>
    <font>
      <sz val="10"/>
      <color rgb="FF000000"/>
      <name val="Arial"/>
      <family val="2"/>
    </font>
  </fonts>
  <fills count="4">
    <fill>
      <patternFill patternType="none"/>
    </fill>
    <fill>
      <patternFill patternType="gray125"/>
    </fill>
    <fill>
      <patternFill patternType="solid">
        <fgColor rgb="FFDAEEF3"/>
        <bgColor rgb="FFDAEEF3"/>
      </patternFill>
    </fill>
    <fill>
      <patternFill patternType="solid">
        <fgColor rgb="FFFFFFFF"/>
        <bgColor rgb="FFFFFFFF"/>
      </patternFill>
    </fill>
  </fills>
  <borders count="7">
    <border>
      <left/>
      <right/>
      <top/>
      <bottom/>
      <diagonal/>
    </border>
    <border>
      <left/>
      <right style="thin">
        <color auto="1"/>
      </right>
      <top style="thin">
        <color auto="1"/>
      </top>
      <bottom/>
      <diagonal/>
    </border>
    <border>
      <left/>
      <right/>
      <top style="thin">
        <color auto="1"/>
      </top>
      <bottom/>
      <diagonal/>
    </border>
    <border>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28">
    <xf numFmtId="0" fontId="0" fillId="0" borderId="0" xfId="0"/>
    <xf numFmtId="0" fontId="1" fillId="0" borderId="0" xfId="0" applyFont="1"/>
    <xf numFmtId="0" fontId="2" fillId="0" borderId="0" xfId="0" applyFont="1"/>
    <xf numFmtId="0" fontId="3" fillId="0" borderId="0" xfId="0" applyFont="1"/>
    <xf numFmtId="0" fontId="0" fillId="2" borderId="1" xfId="0" applyFill="1" applyBorder="1"/>
    <xf numFmtId="0" fontId="1" fillId="2" borderId="2" xfId="0" applyFont="1" applyFill="1" applyBorder="1" applyAlignment="1">
      <alignment horizontal="right" wrapText="1"/>
    </xf>
    <xf numFmtId="0" fontId="1" fillId="2" borderId="1" xfId="0" applyFont="1" applyFill="1" applyBorder="1" applyAlignment="1">
      <alignment horizontal="right" wrapText="1"/>
    </xf>
    <xf numFmtId="0" fontId="1" fillId="2" borderId="3" xfId="0" applyFont="1" applyFill="1" applyBorder="1" applyAlignment="1">
      <alignment horizontal="right" wrapText="1"/>
    </xf>
    <xf numFmtId="0" fontId="1" fillId="2" borderId="4" xfId="0" applyFont="1" applyFill="1" applyBorder="1" applyAlignment="1">
      <alignment horizontal="right" wrapText="1"/>
    </xf>
    <xf numFmtId="0" fontId="1" fillId="3" borderId="6" xfId="0" applyFont="1" applyFill="1" applyBorder="1"/>
    <xf numFmtId="0" fontId="0" fillId="3" borderId="0" xfId="0" applyFill="1"/>
    <xf numFmtId="0" fontId="3" fillId="3" borderId="6" xfId="0" applyFont="1" applyFill="1" applyBorder="1"/>
    <xf numFmtId="0" fontId="3" fillId="0" borderId="6" xfId="0" applyFont="1" applyBorder="1"/>
    <xf numFmtId="1" fontId="3" fillId="3" borderId="0" xfId="0" applyNumberFormat="1" applyFont="1" applyFill="1" applyAlignment="1">
      <alignment horizontal="right" wrapText="1"/>
    </xf>
    <xf numFmtId="2" fontId="3" fillId="3" borderId="0" xfId="0" applyNumberFormat="1" applyFont="1" applyFill="1" applyAlignment="1">
      <alignment horizontal="right" wrapText="1"/>
    </xf>
    <xf numFmtId="1" fontId="3" fillId="3" borderId="6" xfId="0" applyNumberFormat="1" applyFont="1" applyFill="1" applyBorder="1" applyAlignment="1">
      <alignment horizontal="right" wrapText="1"/>
    </xf>
    <xf numFmtId="164" fontId="3" fillId="3" borderId="6" xfId="0" applyNumberFormat="1" applyFont="1" applyFill="1" applyBorder="1" applyAlignment="1">
      <alignment horizontal="right" wrapText="1"/>
    </xf>
    <xf numFmtId="0" fontId="3" fillId="3" borderId="0" xfId="0" applyFont="1" applyFill="1" applyAlignment="1">
      <alignment horizontal="right" wrapText="1"/>
    </xf>
    <xf numFmtId="0" fontId="3" fillId="3" borderId="6" xfId="0" applyFont="1" applyFill="1" applyBorder="1" applyAlignment="1">
      <alignment horizontal="right" wrapText="1"/>
    </xf>
    <xf numFmtId="0" fontId="3" fillId="3" borderId="3" xfId="0" applyFont="1" applyFill="1" applyBorder="1"/>
    <xf numFmtId="0" fontId="0" fillId="3" borderId="2" xfId="0" applyFill="1" applyBorder="1"/>
    <xf numFmtId="0" fontId="0" fillId="0" borderId="0" xfId="0"/>
    <xf numFmtId="0" fontId="3" fillId="0" borderId="0" xfId="0" applyFont="1" applyAlignment="1">
      <alignment horizontal="left" vertical="top" wrapText="1"/>
    </xf>
    <xf numFmtId="0" fontId="0" fillId="0" borderId="0" xfId="0"/>
    <xf numFmtId="0" fontId="1" fillId="2" borderId="5" xfId="0" applyFont="1" applyFill="1" applyBorder="1" applyAlignment="1">
      <alignment horizontal="center" wrapText="1"/>
    </xf>
    <xf numFmtId="0" fontId="1" fillId="2" borderId="5" xfId="0" applyFont="1" applyFill="1" applyBorder="1"/>
    <xf numFmtId="0" fontId="1" fillId="0" borderId="0" xfId="0" applyFont="1" applyAlignment="1">
      <alignment horizontal="left" vertical="top" wrapText="1"/>
    </xf>
    <xf numFmtId="0" fontId="1" fillId="0" borderId="0" xfId="0" applyFon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22"/>
  <sheetViews>
    <sheetView tabSelected="1" zoomScale="80" workbookViewId="0"/>
  </sheetViews>
  <sheetFormatPr defaultColWidth="11.42578125" defaultRowHeight="15" x14ac:dyDescent="0.25"/>
  <cols>
    <col min="2" max="2" width="100" customWidth="1"/>
  </cols>
  <sheetData>
    <row r="1" spans="1:3" x14ac:dyDescent="0.25">
      <c r="B1" s="1" t="s">
        <v>0</v>
      </c>
    </row>
    <row r="2" spans="1:3" x14ac:dyDescent="0.25">
      <c r="A2" s="2" t="s">
        <v>1</v>
      </c>
      <c r="B2" s="3" t="s">
        <v>240</v>
      </c>
    </row>
    <row r="3" spans="1:3" x14ac:dyDescent="0.25">
      <c r="A3" s="2" t="s">
        <v>2</v>
      </c>
      <c r="B3" s="3" t="s">
        <v>241</v>
      </c>
      <c r="C3" s="21"/>
    </row>
    <row r="4" spans="1:3" x14ac:dyDescent="0.25">
      <c r="A4" s="2" t="s">
        <v>3</v>
      </c>
      <c r="B4" s="3" t="s">
        <v>242</v>
      </c>
      <c r="C4" s="21"/>
    </row>
    <row r="5" spans="1:3" x14ac:dyDescent="0.25">
      <c r="A5" s="2" t="s">
        <v>4</v>
      </c>
      <c r="B5" s="3" t="s">
        <v>243</v>
      </c>
      <c r="C5" s="21"/>
    </row>
    <row r="6" spans="1:3" x14ac:dyDescent="0.25">
      <c r="A6" s="2" t="s">
        <v>5</v>
      </c>
      <c r="B6" s="3" t="s">
        <v>244</v>
      </c>
      <c r="C6" s="21"/>
    </row>
    <row r="7" spans="1:3" x14ac:dyDescent="0.25">
      <c r="A7" s="2" t="s">
        <v>6</v>
      </c>
      <c r="B7" s="3" t="s">
        <v>245</v>
      </c>
      <c r="C7" s="21"/>
    </row>
    <row r="8" spans="1:3" x14ac:dyDescent="0.25">
      <c r="A8" s="2" t="s">
        <v>7</v>
      </c>
      <c r="B8" s="3" t="s">
        <v>246</v>
      </c>
      <c r="C8" s="21"/>
    </row>
    <row r="9" spans="1:3" x14ac:dyDescent="0.25">
      <c r="A9" s="2" t="s">
        <v>8</v>
      </c>
      <c r="B9" s="3" t="s">
        <v>247</v>
      </c>
      <c r="C9" s="21"/>
    </row>
    <row r="10" spans="1:3" x14ac:dyDescent="0.25">
      <c r="A10" s="2" t="s">
        <v>9</v>
      </c>
      <c r="B10" s="3" t="s">
        <v>248</v>
      </c>
      <c r="C10" s="21"/>
    </row>
    <row r="11" spans="1:3" x14ac:dyDescent="0.25">
      <c r="A11" s="2" t="s">
        <v>10</v>
      </c>
      <c r="B11" s="3" t="s">
        <v>249</v>
      </c>
      <c r="C11" s="21"/>
    </row>
    <row r="12" spans="1:3" x14ac:dyDescent="0.25">
      <c r="A12" s="2" t="s">
        <v>11</v>
      </c>
      <c r="B12" s="3" t="s">
        <v>250</v>
      </c>
      <c r="C12" s="21"/>
    </row>
    <row r="13" spans="1:3" x14ac:dyDescent="0.25">
      <c r="A13" s="2" t="s">
        <v>12</v>
      </c>
      <c r="B13" s="3" t="s">
        <v>251</v>
      </c>
      <c r="C13" s="21"/>
    </row>
    <row r="14" spans="1:3" x14ac:dyDescent="0.25">
      <c r="A14" s="2" t="s">
        <v>13</v>
      </c>
      <c r="B14" s="3" t="s">
        <v>252</v>
      </c>
      <c r="C14" s="21"/>
    </row>
    <row r="15" spans="1:3" x14ac:dyDescent="0.25">
      <c r="A15" s="2" t="s">
        <v>14</v>
      </c>
      <c r="B15" s="3" t="s">
        <v>253</v>
      </c>
      <c r="C15" s="21"/>
    </row>
    <row r="16" spans="1:3" x14ac:dyDescent="0.25">
      <c r="A16" s="2" t="s">
        <v>15</v>
      </c>
      <c r="B16" s="3" t="s">
        <v>254</v>
      </c>
      <c r="C16" s="21"/>
    </row>
    <row r="17" spans="1:3" x14ac:dyDescent="0.25">
      <c r="A17" s="2" t="s">
        <v>16</v>
      </c>
      <c r="B17" s="3" t="s">
        <v>255</v>
      </c>
      <c r="C17" s="21"/>
    </row>
    <row r="18" spans="1:3" x14ac:dyDescent="0.25">
      <c r="A18" s="2" t="s">
        <v>17</v>
      </c>
      <c r="B18" s="3" t="s">
        <v>256</v>
      </c>
      <c r="C18" s="21"/>
    </row>
    <row r="19" spans="1:3" x14ac:dyDescent="0.25">
      <c r="A19" s="2" t="s">
        <v>18</v>
      </c>
      <c r="B19" s="3" t="s">
        <v>238</v>
      </c>
      <c r="C19" s="21"/>
    </row>
    <row r="20" spans="1:3" x14ac:dyDescent="0.25">
      <c r="A20" s="2" t="s">
        <v>19</v>
      </c>
      <c r="B20" s="3" t="s">
        <v>239</v>
      </c>
      <c r="C20" s="21"/>
    </row>
    <row r="21" spans="1:3" x14ac:dyDescent="0.25">
      <c r="A21" s="2" t="s">
        <v>20</v>
      </c>
      <c r="B21" s="3" t="s">
        <v>257</v>
      </c>
      <c r="C21" s="21"/>
    </row>
    <row r="22" spans="1:3" x14ac:dyDescent="0.25">
      <c r="A22" s="2" t="s">
        <v>21</v>
      </c>
      <c r="B22" s="3" t="s">
        <v>258</v>
      </c>
      <c r="C22" s="21"/>
    </row>
    <row r="23" spans="1:3" x14ac:dyDescent="0.25">
      <c r="A23" s="2" t="s">
        <v>22</v>
      </c>
      <c r="B23" s="3" t="s">
        <v>259</v>
      </c>
      <c r="C23" s="21"/>
    </row>
    <row r="24" spans="1:3" x14ac:dyDescent="0.25">
      <c r="A24" s="2" t="s">
        <v>23</v>
      </c>
      <c r="B24" s="3" t="s">
        <v>260</v>
      </c>
      <c r="C24" s="21"/>
    </row>
    <row r="25" spans="1:3" x14ac:dyDescent="0.25">
      <c r="A25" s="2" t="s">
        <v>24</v>
      </c>
      <c r="B25" s="3" t="s">
        <v>261</v>
      </c>
      <c r="C25" s="21"/>
    </row>
    <row r="26" spans="1:3" x14ac:dyDescent="0.25">
      <c r="A26" s="2" t="s">
        <v>25</v>
      </c>
      <c r="B26" s="3" t="s">
        <v>262</v>
      </c>
      <c r="C26" s="21"/>
    </row>
    <row r="27" spans="1:3" x14ac:dyDescent="0.25">
      <c r="A27" s="2" t="s">
        <v>26</v>
      </c>
      <c r="B27" s="3" t="s">
        <v>263</v>
      </c>
      <c r="C27" s="21"/>
    </row>
    <row r="28" spans="1:3" x14ac:dyDescent="0.25">
      <c r="A28" s="2" t="s">
        <v>27</v>
      </c>
      <c r="B28" s="3" t="s">
        <v>264</v>
      </c>
      <c r="C28" s="21"/>
    </row>
    <row r="29" spans="1:3" x14ac:dyDescent="0.25">
      <c r="A29" s="2" t="s">
        <v>28</v>
      </c>
      <c r="B29" s="3" t="s">
        <v>265</v>
      </c>
      <c r="C29" s="21"/>
    </row>
    <row r="30" spans="1:3" x14ac:dyDescent="0.25">
      <c r="A30" s="2" t="s">
        <v>29</v>
      </c>
      <c r="B30" s="3" t="s">
        <v>266</v>
      </c>
      <c r="C30" s="21"/>
    </row>
    <row r="31" spans="1:3" x14ac:dyDescent="0.25">
      <c r="A31" s="2" t="s">
        <v>30</v>
      </c>
      <c r="B31" s="3" t="s">
        <v>267</v>
      </c>
      <c r="C31" s="21"/>
    </row>
    <row r="32" spans="1:3" x14ac:dyDescent="0.25">
      <c r="A32" s="2" t="s">
        <v>31</v>
      </c>
      <c r="B32" s="3" t="s">
        <v>268</v>
      </c>
      <c r="C32" s="21"/>
    </row>
    <row r="33" spans="1:3" x14ac:dyDescent="0.25">
      <c r="A33" s="2" t="s">
        <v>32</v>
      </c>
      <c r="B33" s="3" t="s">
        <v>269</v>
      </c>
      <c r="C33" s="21"/>
    </row>
    <row r="34" spans="1:3" x14ac:dyDescent="0.25">
      <c r="A34" s="2" t="s">
        <v>33</v>
      </c>
      <c r="B34" s="3" t="s">
        <v>270</v>
      </c>
      <c r="C34" s="21"/>
    </row>
    <row r="35" spans="1:3" x14ac:dyDescent="0.25">
      <c r="A35" s="2" t="s">
        <v>34</v>
      </c>
      <c r="B35" s="3" t="s">
        <v>271</v>
      </c>
      <c r="C35" s="21"/>
    </row>
    <row r="36" spans="1:3" x14ac:dyDescent="0.25">
      <c r="A36" s="2" t="s">
        <v>35</v>
      </c>
      <c r="B36" s="3" t="s">
        <v>272</v>
      </c>
      <c r="C36" s="21"/>
    </row>
    <row r="37" spans="1:3" x14ac:dyDescent="0.25">
      <c r="A37" s="2" t="s">
        <v>36</v>
      </c>
      <c r="B37" s="3" t="s">
        <v>273</v>
      </c>
      <c r="C37" s="21"/>
    </row>
    <row r="38" spans="1:3" x14ac:dyDescent="0.25">
      <c r="A38" s="2" t="s">
        <v>37</v>
      </c>
      <c r="B38" s="3" t="s">
        <v>274</v>
      </c>
      <c r="C38" s="21"/>
    </row>
    <row r="39" spans="1:3" x14ac:dyDescent="0.25">
      <c r="A39" s="2" t="s">
        <v>38</v>
      </c>
      <c r="B39" s="3" t="s">
        <v>275</v>
      </c>
      <c r="C39" s="21"/>
    </row>
    <row r="40" spans="1:3" x14ac:dyDescent="0.25">
      <c r="A40" s="2" t="s">
        <v>39</v>
      </c>
      <c r="B40" s="3" t="s">
        <v>276</v>
      </c>
      <c r="C40" s="21"/>
    </row>
    <row r="41" spans="1:3" x14ac:dyDescent="0.25">
      <c r="A41" s="2" t="s">
        <v>40</v>
      </c>
      <c r="B41" s="3" t="s">
        <v>277</v>
      </c>
      <c r="C41" s="21"/>
    </row>
    <row r="42" spans="1:3" x14ac:dyDescent="0.25">
      <c r="A42" s="2" t="s">
        <v>41</v>
      </c>
      <c r="B42" s="3" t="s">
        <v>278</v>
      </c>
      <c r="C42" s="21"/>
    </row>
    <row r="43" spans="1:3" x14ac:dyDescent="0.25">
      <c r="A43" s="2" t="s">
        <v>42</v>
      </c>
      <c r="B43" s="3" t="s">
        <v>279</v>
      </c>
      <c r="C43" s="21"/>
    </row>
    <row r="44" spans="1:3" x14ac:dyDescent="0.25">
      <c r="A44" s="2" t="s">
        <v>43</v>
      </c>
      <c r="B44" s="3" t="s">
        <v>280</v>
      </c>
      <c r="C44" s="21"/>
    </row>
    <row r="45" spans="1:3" x14ac:dyDescent="0.25">
      <c r="A45" s="2" t="s">
        <v>44</v>
      </c>
      <c r="B45" s="3" t="s">
        <v>281</v>
      </c>
      <c r="C45" s="21"/>
    </row>
    <row r="46" spans="1:3" x14ac:dyDescent="0.25">
      <c r="A46" s="2" t="s">
        <v>45</v>
      </c>
      <c r="B46" s="3" t="s">
        <v>282</v>
      </c>
      <c r="C46" s="21"/>
    </row>
    <row r="47" spans="1:3" x14ac:dyDescent="0.25">
      <c r="A47" s="2" t="s">
        <v>46</v>
      </c>
      <c r="B47" s="3" t="s">
        <v>283</v>
      </c>
      <c r="C47" s="21"/>
    </row>
    <row r="48" spans="1:3" x14ac:dyDescent="0.25">
      <c r="A48" s="2" t="s">
        <v>47</v>
      </c>
      <c r="B48" s="3" t="s">
        <v>284</v>
      </c>
      <c r="C48" s="21"/>
    </row>
    <row r="49" spans="1:3" x14ac:dyDescent="0.25">
      <c r="A49" s="2" t="s">
        <v>48</v>
      </c>
      <c r="B49" s="3" t="s">
        <v>285</v>
      </c>
      <c r="C49" s="21"/>
    </row>
    <row r="50" spans="1:3" x14ac:dyDescent="0.25">
      <c r="A50" s="2" t="s">
        <v>49</v>
      </c>
      <c r="B50" s="3" t="s">
        <v>286</v>
      </c>
      <c r="C50" s="21"/>
    </row>
    <row r="51" spans="1:3" x14ac:dyDescent="0.25">
      <c r="A51" s="2" t="s">
        <v>50</v>
      </c>
      <c r="B51" s="3" t="s">
        <v>287</v>
      </c>
      <c r="C51" s="21"/>
    </row>
    <row r="52" spans="1:3" x14ac:dyDescent="0.25">
      <c r="A52" s="2" t="s">
        <v>51</v>
      </c>
      <c r="B52" s="3" t="s">
        <v>288</v>
      </c>
      <c r="C52" s="21"/>
    </row>
    <row r="53" spans="1:3" x14ac:dyDescent="0.25">
      <c r="A53" s="2" t="s">
        <v>52</v>
      </c>
      <c r="B53" s="3" t="s">
        <v>289</v>
      </c>
      <c r="C53" s="21"/>
    </row>
    <row r="54" spans="1:3" x14ac:dyDescent="0.25">
      <c r="A54" s="2" t="s">
        <v>53</v>
      </c>
      <c r="B54" s="3" t="s">
        <v>290</v>
      </c>
      <c r="C54" s="21"/>
    </row>
    <row r="55" spans="1:3" x14ac:dyDescent="0.25">
      <c r="A55" s="2" t="s">
        <v>54</v>
      </c>
      <c r="B55" s="3" t="s">
        <v>291</v>
      </c>
      <c r="C55" s="21"/>
    </row>
    <row r="56" spans="1:3" x14ac:dyDescent="0.25">
      <c r="A56" s="2" t="s">
        <v>55</v>
      </c>
      <c r="B56" s="3" t="s">
        <v>292</v>
      </c>
      <c r="C56" s="21"/>
    </row>
    <row r="57" spans="1:3" x14ac:dyDescent="0.25">
      <c r="A57" s="2" t="s">
        <v>56</v>
      </c>
      <c r="B57" s="3" t="s">
        <v>293</v>
      </c>
      <c r="C57" s="21"/>
    </row>
    <row r="58" spans="1:3" x14ac:dyDescent="0.25">
      <c r="A58" s="2" t="s">
        <v>57</v>
      </c>
      <c r="B58" s="3" t="s">
        <v>294</v>
      </c>
      <c r="C58" s="21"/>
    </row>
    <row r="59" spans="1:3" x14ac:dyDescent="0.25">
      <c r="A59" s="2" t="s">
        <v>58</v>
      </c>
      <c r="B59" s="3" t="s">
        <v>295</v>
      </c>
      <c r="C59" s="21"/>
    </row>
    <row r="60" spans="1:3" x14ac:dyDescent="0.25">
      <c r="A60" s="2" t="s">
        <v>59</v>
      </c>
      <c r="B60" s="3" t="s">
        <v>296</v>
      </c>
      <c r="C60" s="21"/>
    </row>
    <row r="61" spans="1:3" x14ac:dyDescent="0.25">
      <c r="A61" s="2" t="s">
        <v>60</v>
      </c>
      <c r="B61" s="3" t="s">
        <v>297</v>
      </c>
      <c r="C61" s="21"/>
    </row>
    <row r="62" spans="1:3" x14ac:dyDescent="0.25">
      <c r="A62" s="2" t="s">
        <v>61</v>
      </c>
      <c r="B62" s="3" t="s">
        <v>298</v>
      </c>
      <c r="C62" s="21"/>
    </row>
    <row r="63" spans="1:3" x14ac:dyDescent="0.25">
      <c r="A63" s="2" t="s">
        <v>62</v>
      </c>
      <c r="B63" s="3" t="s">
        <v>299</v>
      </c>
      <c r="C63" s="21"/>
    </row>
    <row r="64" spans="1:3" x14ac:dyDescent="0.25">
      <c r="A64" s="2" t="s">
        <v>63</v>
      </c>
      <c r="B64" s="3" t="s">
        <v>300</v>
      </c>
      <c r="C64" s="21"/>
    </row>
    <row r="65" spans="1:3" x14ac:dyDescent="0.25">
      <c r="A65" s="2" t="s">
        <v>64</v>
      </c>
      <c r="B65" s="3" t="s">
        <v>301</v>
      </c>
      <c r="C65" s="21"/>
    </row>
    <row r="66" spans="1:3" x14ac:dyDescent="0.25">
      <c r="A66" s="2" t="s">
        <v>65</v>
      </c>
      <c r="B66" s="3" t="s">
        <v>302</v>
      </c>
      <c r="C66" s="21"/>
    </row>
    <row r="67" spans="1:3" x14ac:dyDescent="0.25">
      <c r="A67" s="2" t="s">
        <v>66</v>
      </c>
      <c r="B67" s="3" t="s">
        <v>303</v>
      </c>
      <c r="C67" s="21"/>
    </row>
    <row r="68" spans="1:3" x14ac:dyDescent="0.25">
      <c r="A68" s="2" t="s">
        <v>67</v>
      </c>
      <c r="B68" s="3" t="s">
        <v>304</v>
      </c>
      <c r="C68" s="21"/>
    </row>
    <row r="69" spans="1:3" x14ac:dyDescent="0.25">
      <c r="A69" s="2" t="s">
        <v>68</v>
      </c>
      <c r="B69" s="3" t="s">
        <v>305</v>
      </c>
      <c r="C69" s="21"/>
    </row>
    <row r="70" spans="1:3" x14ac:dyDescent="0.25">
      <c r="A70" s="2" t="s">
        <v>69</v>
      </c>
      <c r="B70" s="3" t="s">
        <v>306</v>
      </c>
      <c r="C70" s="21"/>
    </row>
    <row r="71" spans="1:3" x14ac:dyDescent="0.25">
      <c r="A71" s="2" t="s">
        <v>70</v>
      </c>
      <c r="B71" s="3" t="s">
        <v>307</v>
      </c>
      <c r="C71" s="21"/>
    </row>
    <row r="72" spans="1:3" x14ac:dyDescent="0.25">
      <c r="A72" s="2" t="s">
        <v>71</v>
      </c>
      <c r="B72" s="3" t="s">
        <v>308</v>
      </c>
      <c r="C72" s="21"/>
    </row>
    <row r="73" spans="1:3" x14ac:dyDescent="0.25">
      <c r="A73" s="2" t="s">
        <v>72</v>
      </c>
      <c r="B73" s="3" t="s">
        <v>309</v>
      </c>
      <c r="C73" s="21"/>
    </row>
    <row r="74" spans="1:3" x14ac:dyDescent="0.25">
      <c r="A74" s="2" t="s">
        <v>73</v>
      </c>
      <c r="B74" s="3" t="s">
        <v>310</v>
      </c>
      <c r="C74" s="21"/>
    </row>
    <row r="75" spans="1:3" x14ac:dyDescent="0.25">
      <c r="A75" s="2" t="s">
        <v>74</v>
      </c>
      <c r="B75" s="3" t="s">
        <v>311</v>
      </c>
      <c r="C75" s="21"/>
    </row>
    <row r="76" spans="1:3" x14ac:dyDescent="0.25">
      <c r="A76" s="2" t="s">
        <v>75</v>
      </c>
      <c r="B76" s="3" t="s">
        <v>312</v>
      </c>
      <c r="C76" s="21"/>
    </row>
    <row r="77" spans="1:3" x14ac:dyDescent="0.25">
      <c r="A77" s="2" t="s">
        <v>76</v>
      </c>
      <c r="B77" s="3" t="s">
        <v>313</v>
      </c>
      <c r="C77" s="21"/>
    </row>
    <row r="78" spans="1:3" x14ac:dyDescent="0.25">
      <c r="A78" s="2" t="s">
        <v>77</v>
      </c>
      <c r="B78" s="3" t="s">
        <v>314</v>
      </c>
      <c r="C78" s="21"/>
    </row>
    <row r="79" spans="1:3" x14ac:dyDescent="0.25">
      <c r="A79" s="2" t="s">
        <v>78</v>
      </c>
      <c r="B79" s="3" t="s">
        <v>315</v>
      </c>
      <c r="C79" s="21"/>
    </row>
    <row r="80" spans="1:3" x14ac:dyDescent="0.25">
      <c r="A80" s="2" t="s">
        <v>79</v>
      </c>
      <c r="B80" s="3" t="s">
        <v>316</v>
      </c>
      <c r="C80" s="21"/>
    </row>
    <row r="81" spans="1:3" x14ac:dyDescent="0.25">
      <c r="A81" s="2" t="s">
        <v>80</v>
      </c>
      <c r="B81" s="3" t="s">
        <v>317</v>
      </c>
      <c r="C81" s="21"/>
    </row>
    <row r="82" spans="1:3" x14ac:dyDescent="0.25">
      <c r="A82" s="2" t="s">
        <v>81</v>
      </c>
      <c r="B82" s="3" t="s">
        <v>318</v>
      </c>
      <c r="C82" s="21"/>
    </row>
    <row r="83" spans="1:3" x14ac:dyDescent="0.25">
      <c r="A83" s="2" t="s">
        <v>82</v>
      </c>
      <c r="B83" s="3" t="s">
        <v>319</v>
      </c>
      <c r="C83" s="21"/>
    </row>
    <row r="84" spans="1:3" x14ac:dyDescent="0.25">
      <c r="A84" s="2" t="s">
        <v>83</v>
      </c>
      <c r="B84" s="3" t="s">
        <v>320</v>
      </c>
      <c r="C84" s="21"/>
    </row>
    <row r="85" spans="1:3" x14ac:dyDescent="0.25">
      <c r="A85" s="2" t="s">
        <v>84</v>
      </c>
      <c r="B85" s="3" t="s">
        <v>321</v>
      </c>
      <c r="C85" s="21"/>
    </row>
    <row r="86" spans="1:3" x14ac:dyDescent="0.25">
      <c r="A86" s="2" t="s">
        <v>85</v>
      </c>
      <c r="B86" s="3" t="s">
        <v>322</v>
      </c>
      <c r="C86" s="21"/>
    </row>
    <row r="87" spans="1:3" x14ac:dyDescent="0.25">
      <c r="A87" s="2" t="s">
        <v>86</v>
      </c>
      <c r="B87" s="3" t="s">
        <v>323</v>
      </c>
      <c r="C87" s="21"/>
    </row>
    <row r="88" spans="1:3" x14ac:dyDescent="0.25">
      <c r="A88" s="2" t="s">
        <v>87</v>
      </c>
      <c r="B88" s="3" t="s">
        <v>324</v>
      </c>
      <c r="C88" s="21"/>
    </row>
    <row r="89" spans="1:3" x14ac:dyDescent="0.25">
      <c r="A89" s="2" t="s">
        <v>88</v>
      </c>
      <c r="B89" s="3" t="s">
        <v>325</v>
      </c>
      <c r="C89" s="21"/>
    </row>
    <row r="90" spans="1:3" x14ac:dyDescent="0.25">
      <c r="A90" s="2" t="s">
        <v>89</v>
      </c>
      <c r="B90" s="3" t="s">
        <v>326</v>
      </c>
      <c r="C90" s="21"/>
    </row>
    <row r="91" spans="1:3" x14ac:dyDescent="0.25">
      <c r="A91" s="2" t="s">
        <v>90</v>
      </c>
      <c r="B91" s="3" t="s">
        <v>327</v>
      </c>
      <c r="C91" s="21"/>
    </row>
    <row r="92" spans="1:3" x14ac:dyDescent="0.25">
      <c r="A92" s="2" t="s">
        <v>91</v>
      </c>
      <c r="B92" s="3" t="s">
        <v>328</v>
      </c>
      <c r="C92" s="21"/>
    </row>
    <row r="93" spans="1:3" x14ac:dyDescent="0.25">
      <c r="A93" s="2" t="s">
        <v>92</v>
      </c>
      <c r="B93" s="3" t="s">
        <v>329</v>
      </c>
      <c r="C93" s="21"/>
    </row>
    <row r="94" spans="1:3" x14ac:dyDescent="0.25">
      <c r="A94" s="2" t="s">
        <v>93</v>
      </c>
      <c r="B94" s="3" t="s">
        <v>330</v>
      </c>
      <c r="C94" s="21"/>
    </row>
    <row r="95" spans="1:3" x14ac:dyDescent="0.25">
      <c r="A95" s="2" t="s">
        <v>94</v>
      </c>
      <c r="B95" s="3" t="s">
        <v>331</v>
      </c>
      <c r="C95" s="21"/>
    </row>
    <row r="96" spans="1:3" x14ac:dyDescent="0.25">
      <c r="A96" s="2" t="s">
        <v>95</v>
      </c>
      <c r="B96" s="3" t="s">
        <v>332</v>
      </c>
      <c r="C96" s="21"/>
    </row>
    <row r="97" spans="1:3" x14ac:dyDescent="0.25">
      <c r="A97" s="2" t="s">
        <v>96</v>
      </c>
      <c r="B97" s="3" t="s">
        <v>333</v>
      </c>
      <c r="C97" s="21"/>
    </row>
    <row r="98" spans="1:3" x14ac:dyDescent="0.25">
      <c r="A98" s="2" t="s">
        <v>97</v>
      </c>
      <c r="B98" s="3" t="s">
        <v>334</v>
      </c>
      <c r="C98" s="21"/>
    </row>
    <row r="99" spans="1:3" x14ac:dyDescent="0.25">
      <c r="A99" s="2" t="s">
        <v>98</v>
      </c>
      <c r="B99" s="3" t="s">
        <v>335</v>
      </c>
      <c r="C99" s="21"/>
    </row>
    <row r="100" spans="1:3" x14ac:dyDescent="0.25">
      <c r="A100" s="2" t="s">
        <v>99</v>
      </c>
      <c r="B100" s="3" t="s">
        <v>336</v>
      </c>
      <c r="C100" s="21"/>
    </row>
    <row r="101" spans="1:3" x14ac:dyDescent="0.25">
      <c r="A101" s="2" t="s">
        <v>100</v>
      </c>
      <c r="B101" s="3" t="s">
        <v>337</v>
      </c>
      <c r="C101" s="21"/>
    </row>
    <row r="102" spans="1:3" x14ac:dyDescent="0.25">
      <c r="A102" s="2" t="s">
        <v>101</v>
      </c>
      <c r="B102" s="3" t="s">
        <v>338</v>
      </c>
      <c r="C102" s="21"/>
    </row>
    <row r="103" spans="1:3" x14ac:dyDescent="0.25">
      <c r="A103" s="2" t="s">
        <v>102</v>
      </c>
      <c r="B103" s="3" t="s">
        <v>339</v>
      </c>
      <c r="C103" s="21"/>
    </row>
    <row r="104" spans="1:3" x14ac:dyDescent="0.25">
      <c r="A104" s="2" t="s">
        <v>103</v>
      </c>
      <c r="B104" s="3" t="s">
        <v>340</v>
      </c>
      <c r="C104" s="21"/>
    </row>
    <row r="105" spans="1:3" x14ac:dyDescent="0.25">
      <c r="A105" s="2" t="s">
        <v>104</v>
      </c>
      <c r="B105" s="3" t="s">
        <v>341</v>
      </c>
      <c r="C105" s="21"/>
    </row>
    <row r="106" spans="1:3" x14ac:dyDescent="0.25">
      <c r="A106" s="2" t="s">
        <v>105</v>
      </c>
      <c r="B106" s="3" t="s">
        <v>342</v>
      </c>
      <c r="C106" s="21"/>
    </row>
    <row r="107" spans="1:3" x14ac:dyDescent="0.25">
      <c r="A107" s="2" t="s">
        <v>106</v>
      </c>
      <c r="B107" s="3" t="s">
        <v>343</v>
      </c>
      <c r="C107" s="21"/>
    </row>
    <row r="108" spans="1:3" x14ac:dyDescent="0.25">
      <c r="A108" s="2" t="s">
        <v>107</v>
      </c>
      <c r="B108" s="3" t="s">
        <v>344</v>
      </c>
      <c r="C108" s="21"/>
    </row>
    <row r="109" spans="1:3" x14ac:dyDescent="0.25">
      <c r="A109" s="2" t="s">
        <v>108</v>
      </c>
      <c r="B109" s="3" t="s">
        <v>345</v>
      </c>
      <c r="C109" s="21"/>
    </row>
    <row r="110" spans="1:3" x14ac:dyDescent="0.25">
      <c r="A110" s="2" t="s">
        <v>109</v>
      </c>
      <c r="B110" s="3" t="s">
        <v>346</v>
      </c>
      <c r="C110" s="21"/>
    </row>
    <row r="111" spans="1:3" x14ac:dyDescent="0.25">
      <c r="A111" s="2" t="s">
        <v>110</v>
      </c>
      <c r="B111" s="3" t="s">
        <v>347</v>
      </c>
      <c r="C111" s="21"/>
    </row>
    <row r="112" spans="1:3" x14ac:dyDescent="0.25">
      <c r="A112" s="2" t="s">
        <v>111</v>
      </c>
      <c r="B112" s="3" t="s">
        <v>348</v>
      </c>
      <c r="C112" s="21"/>
    </row>
    <row r="113" spans="1:3" x14ac:dyDescent="0.25">
      <c r="A113" s="2" t="s">
        <v>112</v>
      </c>
      <c r="B113" s="3" t="s">
        <v>349</v>
      </c>
      <c r="C113" s="21"/>
    </row>
    <row r="114" spans="1:3" x14ac:dyDescent="0.25">
      <c r="A114" s="2" t="s">
        <v>113</v>
      </c>
      <c r="B114" s="3" t="s">
        <v>350</v>
      </c>
      <c r="C114" s="21"/>
    </row>
    <row r="115" spans="1:3" x14ac:dyDescent="0.25">
      <c r="A115" s="2" t="s">
        <v>114</v>
      </c>
      <c r="B115" s="3" t="s">
        <v>351</v>
      </c>
      <c r="C115" s="21"/>
    </row>
    <row r="116" spans="1:3" x14ac:dyDescent="0.25">
      <c r="A116" s="2" t="s">
        <v>115</v>
      </c>
      <c r="B116" s="3" t="s">
        <v>352</v>
      </c>
      <c r="C116" s="21"/>
    </row>
    <row r="117" spans="1:3" x14ac:dyDescent="0.25">
      <c r="A117" s="2" t="s">
        <v>116</v>
      </c>
      <c r="B117" s="3" t="s">
        <v>353</v>
      </c>
      <c r="C117" s="21"/>
    </row>
    <row r="118" spans="1:3" x14ac:dyDescent="0.25">
      <c r="A118" s="2" t="s">
        <v>117</v>
      </c>
      <c r="B118" s="3" t="s">
        <v>354</v>
      </c>
      <c r="C118" s="21"/>
    </row>
    <row r="119" spans="1:3" x14ac:dyDescent="0.25">
      <c r="A119" s="2" t="s">
        <v>118</v>
      </c>
      <c r="B119" s="3" t="s">
        <v>355</v>
      </c>
      <c r="C119" s="21"/>
    </row>
    <row r="120" spans="1:3" x14ac:dyDescent="0.25">
      <c r="A120" s="2" t="s">
        <v>119</v>
      </c>
      <c r="B120" s="3" t="s">
        <v>356</v>
      </c>
      <c r="C120" s="21"/>
    </row>
    <row r="121" spans="1:3" x14ac:dyDescent="0.25">
      <c r="A121" s="2" t="s">
        <v>120</v>
      </c>
      <c r="B121" s="3" t="s">
        <v>357</v>
      </c>
      <c r="C121" s="21"/>
    </row>
    <row r="122" spans="1:3" x14ac:dyDescent="0.25">
      <c r="A122" s="2" t="s">
        <v>121</v>
      </c>
      <c r="B122" s="3" t="s">
        <v>358</v>
      </c>
      <c r="C122" s="21"/>
    </row>
  </sheetData>
  <hyperlinks>
    <hyperlink ref="A2" location="'CC104101'!A6" display="CC104101"/>
    <hyperlink ref="A3" location="'CC104102'!A6" display="CC104102"/>
    <hyperlink ref="A4" location="'CC104103'!A6" display="CC104103"/>
    <hyperlink ref="A5" location="'CC104104'!A6" display="CC104104"/>
    <hyperlink ref="A6" location="'CC104105'!A6" display="CC104105"/>
    <hyperlink ref="A7" location="'CC104106'!A6" display="CC104106"/>
    <hyperlink ref="A8" location="'CC104107'!A6" display="CC104107"/>
    <hyperlink ref="A9" location="'CC104201'!A6" display="CC104201"/>
    <hyperlink ref="A10" location="'CC104202'!A6" display="CC104202"/>
    <hyperlink ref="A11" location="'CC104203'!A6" display="CC104203"/>
    <hyperlink ref="A12" location="'CC104204'!A6" display="CC104204"/>
    <hyperlink ref="A13" location="'CC104205'!A6" display="CC104205"/>
    <hyperlink ref="A14" location="'CC104206'!A6" display="CC104206"/>
    <hyperlink ref="A15" location="'CC104301C'!A6" display="CC104301C"/>
    <hyperlink ref="A16" location="'CC104303'!A6" display="CC104303"/>
    <hyperlink ref="A17" location="'CC104305'!A6" display="CC104305"/>
    <hyperlink ref="A18" location="'CC104306'!A6" display="CC104306"/>
    <hyperlink ref="A19" location="'CC106101'!A6" display="CC106101"/>
    <hyperlink ref="A20" location="'CC106102'!A6" display="CC106102"/>
    <hyperlink ref="A21" location="'CC106103'!A6" display="CC106103"/>
    <hyperlink ref="A22" location="'CC106104'!A6" display="CC106104"/>
    <hyperlink ref="A23" location="'CC106105'!A6" display="CC106105"/>
    <hyperlink ref="A24" location="'CC106106'!A6" display="CC106106"/>
    <hyperlink ref="A25" location="'CC106107C'!A6" display="CC106107C"/>
    <hyperlink ref="A26" location="'CC106201'!A6" display="CC106201"/>
    <hyperlink ref="A27" location="'CC106202'!A6" display="CC106202"/>
    <hyperlink ref="A28" location="'CC106203'!A6" display="CC106203"/>
    <hyperlink ref="A29" location="'CC106204'!A6" display="CC106204"/>
    <hyperlink ref="A30" location="'CC106205'!A6" display="CC106205"/>
    <hyperlink ref="A31" location="'CC106206'!A6" display="CC106206"/>
    <hyperlink ref="A32" location="'CC106207'!A6" display="CC106207"/>
    <hyperlink ref="A33" location="'CC106208'!A6" display="CC106208"/>
    <hyperlink ref="A34" location="'CC106209'!A6" display="CC106209"/>
    <hyperlink ref="A35" location="'CC106301'!A6" display="CC106301"/>
    <hyperlink ref="A36" location="'CC106302'!A6" display="CC106302"/>
    <hyperlink ref="A37" location="'CC106303'!A6" display="CC106303"/>
    <hyperlink ref="A38" location="'CC106304'!A6" display="CC106304"/>
    <hyperlink ref="A39" location="'CC106305'!A6" display="CC106305"/>
    <hyperlink ref="A40" location="'CC106306'!A6" display="CC106306"/>
    <hyperlink ref="A41" location="'CC106307'!A6" display="CC106307"/>
    <hyperlink ref="A42" location="'CC102101'!A6" display="CC102101"/>
    <hyperlink ref="A43" location="'CC102102C'!A6" display="CC102102C"/>
    <hyperlink ref="A44" location="'CC102201'!A6" display="CC102201"/>
    <hyperlink ref="A45" location="'CC102202'!A6" display="CC102202"/>
    <hyperlink ref="A46" location="'CC102203'!A6" display="CC102203"/>
    <hyperlink ref="A47" location="'CC102204'!A6" display="CC102204"/>
    <hyperlink ref="A48" location="'CC102205'!A6" display="CC102205"/>
    <hyperlink ref="A49" location="'CC102206'!A6" display="CC102206"/>
    <hyperlink ref="A50" location="'CC102207'!A6" display="CC102207"/>
    <hyperlink ref="A51" location="'CC102208'!A6" display="CC102208"/>
    <hyperlink ref="A52" location="'CC102209C'!A6" display="CC102209C"/>
    <hyperlink ref="A53" location="'CC102212'!A6" display="CC102212"/>
    <hyperlink ref="A54" location="'CC102213'!A6" display="CC102213"/>
    <hyperlink ref="A55" location="'CC103101'!A6" display="CC103101"/>
    <hyperlink ref="A56" location="'CC103102'!A6" display="CC103102"/>
    <hyperlink ref="A57" location="'CC103103'!A6" display="CC103103"/>
    <hyperlink ref="A58" location="'CC103104'!A6" display="CC103104"/>
    <hyperlink ref="A59" location="'CC103105'!A6" display="CC103105"/>
    <hyperlink ref="A60" location="'CC103106'!A6" display="CC103106"/>
    <hyperlink ref="A61" location="'CC103107'!A6" display="CC103107"/>
    <hyperlink ref="A62" location="'CC103108C'!A6" display="CC103108C"/>
    <hyperlink ref="A63" location="'CC103201'!A6" display="CC103201"/>
    <hyperlink ref="A64" location="'CC103202'!A6" display="CC103202"/>
    <hyperlink ref="A65" location="'CC103203'!A6" display="CC103203"/>
    <hyperlink ref="A66" location="'CC103204'!A6" display="CC103204"/>
    <hyperlink ref="A67" location="'CC103205'!A6" display="CC103205"/>
    <hyperlink ref="A68" location="'CC103206'!A6" display="CC103206"/>
    <hyperlink ref="A69" location="'CC103207'!A6" display="CC103207"/>
    <hyperlink ref="A70" location="'CC103209'!A6" display="CC103209"/>
    <hyperlink ref="A71" location="'CC103210'!A6" display="CC103210"/>
    <hyperlink ref="A72" location="'CC103211'!A6" display="CC103211"/>
    <hyperlink ref="A73" location="'CC103301'!A6" display="CC103301"/>
    <hyperlink ref="A74" location="'CC103302'!A6" display="CC103302"/>
    <hyperlink ref="A75" location="'CC103303'!A6" display="CC103303"/>
    <hyperlink ref="A76" location="'CC103304'!A6" display="CC103304"/>
    <hyperlink ref="A77" location="'CC103305'!A6" display="CC103305"/>
    <hyperlink ref="A78" location="'CC103306'!A6" display="CC103306"/>
    <hyperlink ref="A79" location="'CC103307'!A6" display="CC103307"/>
    <hyperlink ref="A80" location="'CC103308'!A6" display="CC103308"/>
    <hyperlink ref="A81" location="'CC103309'!A6" display="CC103309"/>
    <hyperlink ref="A82" location="'CC100101'!A6" display="CC100101"/>
    <hyperlink ref="A83" location="'CC100102'!A6" display="CC100102"/>
    <hyperlink ref="A84" location="'CC100103'!A6" display="CC100103"/>
    <hyperlink ref="A85" location="'CC100104'!A6" display="CC100104"/>
    <hyperlink ref="A86" location="'CC100105'!A6" display="CC100105"/>
    <hyperlink ref="A87" location="'CC100201'!A6" display="CC100201"/>
    <hyperlink ref="A88" location="'CC100202'!A6" display="CC100202"/>
    <hyperlink ref="A89" location="'CC100203'!A6" display="CC100203"/>
    <hyperlink ref="A90" location="'CC100301'!A6" display="CC100301"/>
    <hyperlink ref="A91" location="'CC100302'!A6" display="CC100302"/>
    <hyperlink ref="A92" location="'CC100401'!A6" display="CC100401"/>
    <hyperlink ref="A93" location="'CC100402'!A6" display="CC100402"/>
    <hyperlink ref="A94" location="'CC105101'!A6" display="CC105101"/>
    <hyperlink ref="A95" location="'CC105102'!A6" display="CC105102"/>
    <hyperlink ref="A96" location="'CC105103C'!A6" display="CC105103C"/>
    <hyperlink ref="A97" location="'CC105105C'!A6" display="CC105105C"/>
    <hyperlink ref="A98" location="'CC105108C'!A6" display="CC105108C"/>
    <hyperlink ref="A99" location="'CC105201C'!A6" display="CC105201C"/>
    <hyperlink ref="A100" location="'CC105203C'!A6" display="CC105203C"/>
    <hyperlink ref="A101" location="'CC105205'!A6" display="CC105205"/>
    <hyperlink ref="A102" location="'CC105206'!A6" display="CC105206"/>
    <hyperlink ref="A103" location="'CC105207'!A6" display="CC105207"/>
    <hyperlink ref="A104" location="'CC105208C'!A6" display="CC105208C"/>
    <hyperlink ref="A105" location="'CC105211'!A6" display="CC105211"/>
    <hyperlink ref="A106" location="'CC105212C'!A6" display="CC105212C"/>
    <hyperlink ref="A107" location="'CC105214'!A6" display="CC105214"/>
    <hyperlink ref="A108" location="'CC105301'!A6" display="CC105301"/>
    <hyperlink ref="A109" location="'CC105302'!A6" display="CC105302"/>
    <hyperlink ref="A110" location="'CC105303'!A6" display="CC105303"/>
    <hyperlink ref="A111" location="'CC105304C'!A6" display="CC105304C"/>
    <hyperlink ref="A112" location="'CC105306'!A6" display="CC105306"/>
    <hyperlink ref="A113" location="'CC105307'!A6" display="CC105307"/>
    <hyperlink ref="A114" location="'CC105308C'!A6" display="CC105308C"/>
    <hyperlink ref="A115" location="'CC105401'!A6" display="CC105401"/>
    <hyperlink ref="A116" location="'CC105402'!A6" display="CC105402"/>
    <hyperlink ref="A117" location="'CC105403'!A6" display="CC105403"/>
    <hyperlink ref="A118" location="'CC105404'!A6" display="CC105404"/>
    <hyperlink ref="A119" location="'CC105405'!A6" display="CC105405"/>
    <hyperlink ref="A120" location="'CC105406'!A6" display="CC105406"/>
    <hyperlink ref="A121" location="'CC105407'!A6" display="CC105407"/>
    <hyperlink ref="A122" location="'CC105408C'!A6" display="CC105408C"/>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(5953/B7*100)</f>
        <v>83.107636465168227</v>
      </c>
      <c r="D7" s="15">
        <v>1210</v>
      </c>
      <c r="E7" s="14">
        <v>18.241140560000002</v>
      </c>
      <c r="F7" s="16">
        <v>1.25273335</v>
      </c>
      <c r="G7" s="14">
        <v>81.758859439999995</v>
      </c>
      <c r="H7" s="16">
        <v>1.25273335</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22.863885530000001</v>
      </c>
      <c r="F8" s="16">
        <v>2.31433395</v>
      </c>
      <c r="G8" s="14">
        <v>77.136114469999995</v>
      </c>
      <c r="H8" s="16">
        <v>2.31433395</v>
      </c>
      <c r="I8" s="14" t="s">
        <v>139</v>
      </c>
      <c r="J8" s="16" t="s">
        <v>139</v>
      </c>
      <c r="K8" s="14">
        <v>0</v>
      </c>
      <c r="L8" s="16">
        <v>0</v>
      </c>
      <c r="M8" s="14">
        <v>0</v>
      </c>
      <c r="N8" s="16">
        <v>0</v>
      </c>
      <c r="O8" s="14">
        <v>0</v>
      </c>
      <c r="P8" s="16">
        <v>0</v>
      </c>
      <c r="Q8" s="14">
        <v>0</v>
      </c>
      <c r="R8" s="16">
        <v>0</v>
      </c>
    </row>
    <row r="9" spans="1:18" x14ac:dyDescent="0.25">
      <c r="A9" s="11" t="s">
        <v>141</v>
      </c>
      <c r="B9" s="13">
        <v>4752</v>
      </c>
      <c r="C9" s="14">
        <f>(3918/B9*100)</f>
        <v>82.449494949494948</v>
      </c>
      <c r="D9" s="15">
        <v>834</v>
      </c>
      <c r="E9" s="14">
        <v>24.002110510000001</v>
      </c>
      <c r="F9" s="16">
        <v>1.65122565</v>
      </c>
      <c r="G9" s="14">
        <v>75.997889490000006</v>
      </c>
      <c r="H9" s="16">
        <v>1.65122565</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16.403002539999999</v>
      </c>
      <c r="F10" s="16">
        <v>1.27822155</v>
      </c>
      <c r="G10" s="14">
        <v>83.596997459999997</v>
      </c>
      <c r="H10" s="16">
        <v>1.27822155</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(2895/B11*100)</f>
        <v>82.714285714285722</v>
      </c>
      <c r="D11" s="15">
        <v>605</v>
      </c>
      <c r="E11" s="14">
        <v>45.466771629999997</v>
      </c>
      <c r="F11" s="16">
        <v>2.4513976400000002</v>
      </c>
      <c r="G11" s="14">
        <v>54.533228370000003</v>
      </c>
      <c r="H11" s="16">
        <v>2.4513976400000002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(2846/B12*100)</f>
        <v>83.167738164815901</v>
      </c>
      <c r="D12" s="15">
        <v>576</v>
      </c>
      <c r="E12" s="14">
        <v>18.974564579999999</v>
      </c>
      <c r="F12" s="16">
        <v>1.8648321800000001</v>
      </c>
      <c r="G12" s="14">
        <v>81.025435419999994</v>
      </c>
      <c r="H12" s="16">
        <v>1.8648321800000001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21.743841280000002</v>
      </c>
      <c r="F13" s="16">
        <v>2.14964873</v>
      </c>
      <c r="G13" s="14">
        <v>78.256158720000002</v>
      </c>
      <c r="H13" s="16">
        <v>2.14964873</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16.956943339999999</v>
      </c>
      <c r="F14" s="16">
        <v>1.92760332</v>
      </c>
      <c r="G14" s="14">
        <v>83.043056660000005</v>
      </c>
      <c r="H14" s="16">
        <v>1.92760332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(2382/B15*100)</f>
        <v>83.199441145651406</v>
      </c>
      <c r="D15" s="15">
        <v>481</v>
      </c>
      <c r="E15" s="14">
        <v>15.78582308</v>
      </c>
      <c r="F15" s="16">
        <v>1.81882158</v>
      </c>
      <c r="G15" s="14">
        <v>84.21417692</v>
      </c>
      <c r="H15" s="16">
        <v>1.81882158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20.900945239999999</v>
      </c>
      <c r="F16" s="16">
        <v>1.8027571499999999</v>
      </c>
      <c r="G16" s="14">
        <v>79.099054760000001</v>
      </c>
      <c r="H16" s="16">
        <v>1.8027571499999999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(2641/B17*100)</f>
        <v>82.608695652173907</v>
      </c>
      <c r="D17" s="15">
        <v>556</v>
      </c>
      <c r="E17" s="14">
        <v>11.37991557</v>
      </c>
      <c r="F17" s="16">
        <v>1.3521280200000001</v>
      </c>
      <c r="G17" s="14">
        <v>88.620084430000006</v>
      </c>
      <c r="H17" s="16">
        <v>1.3521280200000001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(2230/B18*100)</f>
        <v>82.409460458240943</v>
      </c>
      <c r="D18" s="15">
        <v>476</v>
      </c>
      <c r="E18" s="14">
        <v>37.182232300000003</v>
      </c>
      <c r="F18" s="16">
        <v>2.60585735</v>
      </c>
      <c r="G18" s="14">
        <v>62.817767699999997</v>
      </c>
      <c r="H18" s="16">
        <v>2.60585735</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22.535749899999999</v>
      </c>
      <c r="F19" s="16">
        <v>2.1566860399999999</v>
      </c>
      <c r="G19" s="14">
        <v>77.464250100000001</v>
      </c>
      <c r="H19" s="16">
        <v>2.1566860399999999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26.936901209999998</v>
      </c>
      <c r="F20" s="16">
        <v>2.5808362599999999</v>
      </c>
      <c r="G20" s="14">
        <v>73.063098789999998</v>
      </c>
      <c r="H20" s="16">
        <v>2.5808362599999999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(3116/B22*100)</f>
        <v>84.974093264248708</v>
      </c>
      <c r="D22" s="15">
        <v>551</v>
      </c>
      <c r="E22" s="14">
        <v>31.270547990000001</v>
      </c>
      <c r="F22" s="16">
        <v>1.83733598</v>
      </c>
      <c r="G22" s="14">
        <v>68.729452010000003</v>
      </c>
      <c r="H22" s="16">
        <v>1.83733598</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(4792/B23*100)</f>
        <v>82.734806629834253</v>
      </c>
      <c r="D23" s="15">
        <v>1000</v>
      </c>
      <c r="E23" s="14">
        <v>26.997833100000001</v>
      </c>
      <c r="F23" s="16">
        <v>2.0677857199999998</v>
      </c>
      <c r="G23" s="14">
        <v>73.002166900000006</v>
      </c>
      <c r="H23" s="16">
        <v>2.0677857199999998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(2741/B24*100)</f>
        <v>82.834693260803874</v>
      </c>
      <c r="D24" s="15">
        <v>568</v>
      </c>
      <c r="E24" s="14">
        <v>36.290260670000002</v>
      </c>
      <c r="F24" s="16">
        <v>2.1890569100000001</v>
      </c>
      <c r="G24" s="14">
        <v>63.709739329999998</v>
      </c>
      <c r="H24" s="16">
        <v>2.1890569100000001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12.962480279999999</v>
      </c>
      <c r="F25" s="16">
        <v>1.7126618300000001</v>
      </c>
      <c r="G25" s="14">
        <v>87.037519720000006</v>
      </c>
      <c r="H25" s="16">
        <v>1.7126618300000001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19.956078439999999</v>
      </c>
      <c r="F26" s="16">
        <v>1.8845607099999999</v>
      </c>
      <c r="G26" s="14">
        <v>80.043921560000001</v>
      </c>
      <c r="H26" s="16">
        <v>1.8845607099999999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(2220/B27*100)</f>
        <v>82.743197912784197</v>
      </c>
      <c r="D27" s="15">
        <v>463</v>
      </c>
      <c r="E27" s="14">
        <v>26.00222793</v>
      </c>
      <c r="F27" s="16">
        <v>2.19596912</v>
      </c>
      <c r="G27" s="14">
        <v>73.997772069999996</v>
      </c>
      <c r="H27" s="16">
        <v>2.19596912</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(3191/B28*100)</f>
        <v>83.907441493557727</v>
      </c>
      <c r="D28" s="15">
        <v>612</v>
      </c>
      <c r="E28" s="14">
        <v>42.180016119999998</v>
      </c>
      <c r="F28" s="16">
        <v>2.1511072200000001</v>
      </c>
      <c r="G28" s="14">
        <v>57.819983880000002</v>
      </c>
      <c r="H28" s="16">
        <v>2.1511072200000001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26.720994309999998</v>
      </c>
      <c r="F29" s="16">
        <v>2.05358829</v>
      </c>
      <c r="G29" s="14">
        <v>73.279005690000005</v>
      </c>
      <c r="H29" s="16">
        <v>2.05358829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(1877/B30*100)</f>
        <v>83.163491360212674</v>
      </c>
      <c r="D30" s="15">
        <v>380</v>
      </c>
      <c r="E30" s="14">
        <v>18.806952150000001</v>
      </c>
      <c r="F30" s="16">
        <v>2.08454476</v>
      </c>
      <c r="G30" s="14">
        <v>81.193047849999999</v>
      </c>
      <c r="H30" s="16">
        <v>2.08454476</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(2245/B31*100)</f>
        <v>82.963784183296369</v>
      </c>
      <c r="D31" s="15">
        <v>461</v>
      </c>
      <c r="E31" s="14">
        <v>27.020379550000001</v>
      </c>
      <c r="F31" s="16">
        <v>2.0149409999999999</v>
      </c>
      <c r="G31" s="14">
        <v>72.979620449999999</v>
      </c>
      <c r="H31" s="16">
        <v>2.0149409999999999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(3034/B33*100)</f>
        <v>83.1005204053684</v>
      </c>
      <c r="D33" s="15">
        <v>617</v>
      </c>
      <c r="E33" s="14">
        <v>30.966921540000001</v>
      </c>
      <c r="F33" s="16">
        <v>2.15452033</v>
      </c>
      <c r="G33" s="14">
        <v>69.033078459999999</v>
      </c>
      <c r="H33" s="16">
        <v>2.15452033</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(2534/B34*100)</f>
        <v>83.492586490939047</v>
      </c>
      <c r="D34" s="15">
        <v>501</v>
      </c>
      <c r="E34" s="14">
        <v>20.136129069999999</v>
      </c>
      <c r="F34" s="16">
        <v>1.9555021100000001</v>
      </c>
      <c r="G34" s="14">
        <v>79.863870930000004</v>
      </c>
      <c r="H34" s="16">
        <v>1.9555021100000001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(2393/B35*100)</f>
        <v>82.488796966563243</v>
      </c>
      <c r="D35" s="15">
        <v>508</v>
      </c>
      <c r="E35" s="14">
        <v>27.323949370000001</v>
      </c>
      <c r="F35" s="16">
        <v>2.5206223799999998</v>
      </c>
      <c r="G35" s="14">
        <v>72.676050630000006</v>
      </c>
      <c r="H35" s="16">
        <v>2.5206223799999998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(2818/B36*100)</f>
        <v>82.784958871915393</v>
      </c>
      <c r="D36" s="15">
        <v>586</v>
      </c>
      <c r="E36" s="14">
        <v>35.485157899999997</v>
      </c>
      <c r="F36" s="16">
        <v>2.1625169999999998</v>
      </c>
      <c r="G36" s="14">
        <v>64.514842099999996</v>
      </c>
      <c r="H36" s="16">
        <v>2.1625169999999998</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20.090734309999998</v>
      </c>
      <c r="F37" s="16">
        <v>2.1622713500000001</v>
      </c>
      <c r="G37" s="14">
        <v>79.909265689999998</v>
      </c>
      <c r="H37" s="16">
        <v>2.1622713500000001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42.343826380000003</v>
      </c>
      <c r="F39" s="16">
        <v>2.40617664</v>
      </c>
      <c r="G39" s="14">
        <v>57.656173619999997</v>
      </c>
      <c r="H39" s="16">
        <v>2.40617664</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18.814969869999999</v>
      </c>
      <c r="F40" s="16">
        <v>1.8353317300000001</v>
      </c>
      <c r="G40" s="14">
        <v>81.185030130000001</v>
      </c>
      <c r="H40" s="16">
        <v>1.8353317300000001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(2364/B41*100)</f>
        <v>82.831114225648221</v>
      </c>
      <c r="D41" s="15">
        <v>490</v>
      </c>
      <c r="E41" s="14">
        <v>21.60902265</v>
      </c>
      <c r="F41" s="16">
        <v>1.8374207600000001</v>
      </c>
      <c r="G41" s="14">
        <v>78.39097735</v>
      </c>
      <c r="H41" s="16">
        <v>1.8374207600000001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82.9542407849776</v>
      </c>
      <c r="D42" s="15">
        <f>IF(COUNT(D7:D41) &gt; 0, AVERAGE(D7:D41), "—")</f>
        <v>617.34375</v>
      </c>
      <c r="E42" s="14">
        <f>IF(COUNT(E7:E41) &gt; 0, AVERAGE(E7:E41), "—")</f>
        <v>25.136009653125008</v>
      </c>
      <c r="F42" s="16">
        <f>IF(COUNT(F7:F41) &gt; 0, SQRT(SUMSQ(F7:F41)/(COUNT(F7:F41)*COUNT(F7:F41)) ), "—")</f>
        <v>0.36080458603802273</v>
      </c>
      <c r="G42" s="14">
        <f>IF(COUNT(G7:G41) &gt; 0, AVERAGE(G7:G41), "—")</f>
        <v>74.863990346875028</v>
      </c>
      <c r="H42" s="16">
        <f>IF(COUNT(H7:H41) &gt; 0, SQRT(SUMSQ(H7:H41)/(COUNT(H7:H41)*COUNT(H7:H41)) ), "—")</f>
        <v>0.36080458603802273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(10154/B46*100)</f>
        <v>84.10502774786714</v>
      </c>
      <c r="D46" s="15">
        <v>1919</v>
      </c>
      <c r="E46" s="14">
        <v>45.19479561</v>
      </c>
      <c r="F46" s="16">
        <v>1.61269288</v>
      </c>
      <c r="G46" s="14">
        <v>54.80520439</v>
      </c>
      <c r="H46" s="16">
        <v>1.61269288</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(2354/B47*100)</f>
        <v>83.386468296138858</v>
      </c>
      <c r="D47" s="15">
        <v>469</v>
      </c>
      <c r="E47" s="14">
        <v>29.688049190000001</v>
      </c>
      <c r="F47" s="16">
        <v>2.3795968200000002</v>
      </c>
      <c r="G47" s="14">
        <v>70.311950809999999</v>
      </c>
      <c r="H47" s="16">
        <v>2.3795968200000002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(3861/B48*100)</f>
        <v>82.464758650149506</v>
      </c>
      <c r="D48" s="15">
        <v>821</v>
      </c>
      <c r="E48" s="14">
        <v>21.42027379</v>
      </c>
      <c r="F48" s="16">
        <v>1.85772191</v>
      </c>
      <c r="G48" s="14">
        <v>78.579726210000004</v>
      </c>
      <c r="H48" s="16">
        <v>1.85772191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52.771857410000003</v>
      </c>
      <c r="F50" s="16">
        <v>2.2327778899999999</v>
      </c>
      <c r="G50" s="14">
        <v>47.228142589999997</v>
      </c>
      <c r="H50" s="16">
        <v>2.2327778899999999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(2974/B51*100)</f>
        <v>85.117344018317127</v>
      </c>
      <c r="D51" s="15">
        <v>520</v>
      </c>
      <c r="E51" s="14">
        <v>45.51926521</v>
      </c>
      <c r="F51" s="16">
        <v>2.4401546700000001</v>
      </c>
      <c r="G51" s="14">
        <v>54.48073479</v>
      </c>
      <c r="H51" s="16">
        <v>2.4401546700000001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32.888044399999998</v>
      </c>
      <c r="F52" s="16">
        <v>2.1934107300000001</v>
      </c>
      <c r="G52" s="14">
        <v>67.111955600000002</v>
      </c>
      <c r="H52" s="16">
        <v>2.1934107300000001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(2272/B53*100)</f>
        <v>82.318840579710141</v>
      </c>
      <c r="D53" s="15">
        <v>488</v>
      </c>
      <c r="E53" s="14">
        <v>38.751466270000002</v>
      </c>
      <c r="F53" s="16">
        <v>2.1721070899999999</v>
      </c>
      <c r="G53" s="14">
        <v>61.248533729999998</v>
      </c>
      <c r="H53" s="16">
        <v>2.1721070899999999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34.338125099999999</v>
      </c>
      <c r="F56" s="16">
        <v>2.6256024500000001</v>
      </c>
      <c r="G56" s="14">
        <v>65.661874900000001</v>
      </c>
      <c r="H56" s="16">
        <v>2.6256024500000001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24.929873659999998</v>
      </c>
      <c r="F61" s="16">
        <v>1.8286185100000001</v>
      </c>
      <c r="G61" s="14">
        <v>75.070126340000002</v>
      </c>
      <c r="H61" s="16">
        <v>1.8286185100000001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(1837/B62*100)</f>
        <v>82.376681614349778</v>
      </c>
      <c r="D62" s="15">
        <v>393</v>
      </c>
      <c r="E62" s="14">
        <v>34.445571530000002</v>
      </c>
      <c r="F62" s="16">
        <v>2.7866482299999999</v>
      </c>
      <c r="G62" s="14">
        <v>65.554428470000005</v>
      </c>
      <c r="H62" s="16">
        <v>2.7866482299999999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(2298/B66*100)</f>
        <v>82.930350054132091</v>
      </c>
      <c r="D66" s="15">
        <v>473</v>
      </c>
      <c r="E66" s="14">
        <v>41.61659075</v>
      </c>
      <c r="F66" s="16">
        <v>2.2228054400000001</v>
      </c>
      <c r="G66" s="14">
        <v>58.38340925</v>
      </c>
      <c r="H66" s="16">
        <v>2.2228054400000001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(2873/B67*100)</f>
        <v>83.034682080924853</v>
      </c>
      <c r="D67" s="15">
        <v>587</v>
      </c>
      <c r="E67" s="14">
        <v>58.921357350000001</v>
      </c>
      <c r="F67" s="16">
        <v>2.1839159499999998</v>
      </c>
      <c r="G67" s="14">
        <v>41.078642649999999</v>
      </c>
      <c r="H67" s="16">
        <v>2.1839159499999998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(2572/B70*100)</f>
        <v>82.780817508850973</v>
      </c>
      <c r="D70" s="15">
        <v>535</v>
      </c>
      <c r="E70" s="14">
        <v>24.820080699999998</v>
      </c>
      <c r="F70" s="16">
        <v>2.2308049699999999</v>
      </c>
      <c r="G70" s="14">
        <v>75.179919299999995</v>
      </c>
      <c r="H70" s="16">
        <v>2.2308049699999999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21.000708360000001</v>
      </c>
      <c r="F72" s="16">
        <v>1.7226834499999999</v>
      </c>
      <c r="G72" s="14">
        <v>78.999291639999996</v>
      </c>
      <c r="H72" s="16">
        <v>1.7226834499999999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(3882/B73*100)</f>
        <v>83.447979363714524</v>
      </c>
      <c r="D73" s="15">
        <v>770</v>
      </c>
      <c r="E73" s="14">
        <v>33.511926180000003</v>
      </c>
      <c r="F73" s="16">
        <v>1.91519214</v>
      </c>
      <c r="G73" s="14">
        <v>66.488073819999997</v>
      </c>
      <c r="H73" s="16">
        <v>1.91519214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(2468/B75*100)</f>
        <v>83.125631525766252</v>
      </c>
      <c r="D75" s="15">
        <v>501</v>
      </c>
      <c r="E75" s="14">
        <v>50.288408990000001</v>
      </c>
      <c r="F75" s="16">
        <v>2.5818487499999998</v>
      </c>
      <c r="G75" s="14">
        <v>49.711591009999999</v>
      </c>
      <c r="H75" s="16">
        <v>2.5818487499999998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38.466414329999999</v>
      </c>
      <c r="F76" s="16">
        <v>1.98852896</v>
      </c>
      <c r="G76" s="14">
        <v>61.533585670000001</v>
      </c>
      <c r="H76" s="16">
        <v>1.98852896</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(2605/B77*100)</f>
        <v>82.593532022828157</v>
      </c>
      <c r="D77" s="15">
        <v>549</v>
      </c>
      <c r="E77" s="14">
        <v>45.48167187</v>
      </c>
      <c r="F77" s="16">
        <v>2.3536532800000001</v>
      </c>
      <c r="G77" s="14">
        <v>54.51832813</v>
      </c>
      <c r="H77" s="16">
        <v>2.3536532800000001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58.674498409999998</v>
      </c>
      <c r="F81" s="16">
        <v>2.12890479</v>
      </c>
      <c r="G81" s="14">
        <v>41.325501590000002</v>
      </c>
      <c r="H81" s="16">
        <v>2.12890479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(5953/B7*100)</f>
        <v>83.107636465168227</v>
      </c>
      <c r="D7" s="15">
        <v>1210</v>
      </c>
      <c r="E7" s="14">
        <v>25.179929829999999</v>
      </c>
      <c r="F7" s="16">
        <v>1.6802724200000001</v>
      </c>
      <c r="G7" s="14">
        <v>74.820070169999994</v>
      </c>
      <c r="H7" s="16">
        <v>1.6802724200000001</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24.11513132</v>
      </c>
      <c r="F8" s="16">
        <v>2.2212008000000001</v>
      </c>
      <c r="G8" s="14">
        <v>75.884868679999997</v>
      </c>
      <c r="H8" s="16">
        <v>2.2212008000000001</v>
      </c>
      <c r="I8" s="14" t="s">
        <v>139</v>
      </c>
      <c r="J8" s="16" t="s">
        <v>139</v>
      </c>
      <c r="K8" s="14">
        <v>0</v>
      </c>
      <c r="L8" s="16">
        <v>0</v>
      </c>
      <c r="M8" s="14">
        <v>0</v>
      </c>
      <c r="N8" s="16">
        <v>0</v>
      </c>
      <c r="O8" s="14">
        <v>0</v>
      </c>
      <c r="P8" s="16">
        <v>0</v>
      </c>
      <c r="Q8" s="14">
        <v>0</v>
      </c>
      <c r="R8" s="16">
        <v>0</v>
      </c>
    </row>
    <row r="9" spans="1:18" x14ac:dyDescent="0.25">
      <c r="A9" s="11" t="s">
        <v>141</v>
      </c>
      <c r="B9" s="13">
        <v>4752</v>
      </c>
      <c r="C9" s="14">
        <f>(3918/B9*100)</f>
        <v>82.449494949494948</v>
      </c>
      <c r="D9" s="15">
        <v>834</v>
      </c>
      <c r="E9" s="14">
        <v>21.696665750000001</v>
      </c>
      <c r="F9" s="16">
        <v>1.40061897</v>
      </c>
      <c r="G9" s="14">
        <v>78.303334250000006</v>
      </c>
      <c r="H9" s="16">
        <v>1.40061897</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20.727842580000001</v>
      </c>
      <c r="F10" s="16">
        <v>1.4284238499999999</v>
      </c>
      <c r="G10" s="14">
        <v>79.272157419999999</v>
      </c>
      <c r="H10" s="16">
        <v>1.4284238499999999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(2895/B11*100)</f>
        <v>82.714285714285722</v>
      </c>
      <c r="D11" s="15">
        <v>605</v>
      </c>
      <c r="E11" s="14">
        <v>42.622733009999997</v>
      </c>
      <c r="F11" s="16">
        <v>2.4272015300000001</v>
      </c>
      <c r="G11" s="14">
        <v>57.377266990000003</v>
      </c>
      <c r="H11" s="16">
        <v>2.4272015300000001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(2846/B12*100)</f>
        <v>83.167738164815901</v>
      </c>
      <c r="D12" s="15">
        <v>576</v>
      </c>
      <c r="E12" s="14">
        <v>25.788436799999999</v>
      </c>
      <c r="F12" s="16">
        <v>2.1519633900000001</v>
      </c>
      <c r="G12" s="14">
        <v>74.211563200000001</v>
      </c>
      <c r="H12" s="16">
        <v>2.1519633900000001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20.011667169999999</v>
      </c>
      <c r="F13" s="16">
        <v>1.8354944500000001</v>
      </c>
      <c r="G13" s="14">
        <v>79.988332830000004</v>
      </c>
      <c r="H13" s="16">
        <v>1.8354944500000001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22.018539579999999</v>
      </c>
      <c r="F14" s="16">
        <v>2.5365212800000001</v>
      </c>
      <c r="G14" s="14">
        <v>77.981460420000005</v>
      </c>
      <c r="H14" s="16">
        <v>2.5365212800000001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(2382/B15*100)</f>
        <v>83.199441145651406</v>
      </c>
      <c r="D15" s="15">
        <v>481</v>
      </c>
      <c r="E15" s="14">
        <v>21.466827559999999</v>
      </c>
      <c r="F15" s="16">
        <v>1.9124344600000001</v>
      </c>
      <c r="G15" s="14">
        <v>78.533172440000001</v>
      </c>
      <c r="H15" s="16">
        <v>1.9124344600000001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23.567020410000001</v>
      </c>
      <c r="F16" s="16">
        <v>2.15857754</v>
      </c>
      <c r="G16" s="14">
        <v>76.432979590000002</v>
      </c>
      <c r="H16" s="16">
        <v>2.15857754</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(2641/B17*100)</f>
        <v>82.608695652173907</v>
      </c>
      <c r="D17" s="15">
        <v>556</v>
      </c>
      <c r="E17" s="14">
        <v>18.464866390000001</v>
      </c>
      <c r="F17" s="16">
        <v>1.59918457</v>
      </c>
      <c r="G17" s="14">
        <v>81.535133610000003</v>
      </c>
      <c r="H17" s="16">
        <v>1.59918457</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(2230/B18*100)</f>
        <v>82.409460458240943</v>
      </c>
      <c r="D18" s="15">
        <v>476</v>
      </c>
      <c r="E18" s="14">
        <v>29.336412589999998</v>
      </c>
      <c r="F18" s="16">
        <v>2.1303329999999998</v>
      </c>
      <c r="G18" s="14">
        <v>70.663587410000005</v>
      </c>
      <c r="H18" s="16">
        <v>2.1303329999999998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28.634437930000001</v>
      </c>
      <c r="F19" s="16">
        <v>2.3561168399999999</v>
      </c>
      <c r="G19" s="14">
        <v>71.365562069999996</v>
      </c>
      <c r="H19" s="16">
        <v>2.3561168399999999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27.172399070000001</v>
      </c>
      <c r="F20" s="16">
        <v>2.62462938</v>
      </c>
      <c r="G20" s="14">
        <v>72.827600930000003</v>
      </c>
      <c r="H20" s="16">
        <v>2.62462938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(3116/B22*100)</f>
        <v>84.974093264248708</v>
      </c>
      <c r="D22" s="15">
        <v>551</v>
      </c>
      <c r="E22" s="14">
        <v>41.783640140000003</v>
      </c>
      <c r="F22" s="16">
        <v>2.5279885700000002</v>
      </c>
      <c r="G22" s="14">
        <v>58.216359859999997</v>
      </c>
      <c r="H22" s="16">
        <v>2.5279885700000002</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(4792/B23*100)</f>
        <v>82.734806629834253</v>
      </c>
      <c r="D23" s="15">
        <v>1000</v>
      </c>
      <c r="E23" s="14">
        <v>33.16697886</v>
      </c>
      <c r="F23" s="16">
        <v>2.6468615</v>
      </c>
      <c r="G23" s="14">
        <v>66.83302114</v>
      </c>
      <c r="H23" s="16">
        <v>2.6468615</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(2741/B24*100)</f>
        <v>82.834693260803874</v>
      </c>
      <c r="D24" s="15">
        <v>568</v>
      </c>
      <c r="E24" s="14">
        <v>30.852651009999999</v>
      </c>
      <c r="F24" s="16">
        <v>1.9322551400000001</v>
      </c>
      <c r="G24" s="14">
        <v>69.147348989999998</v>
      </c>
      <c r="H24" s="16">
        <v>1.9322551400000001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32.75073424</v>
      </c>
      <c r="F25" s="16">
        <v>2.22984589</v>
      </c>
      <c r="G25" s="14">
        <v>67.24926576</v>
      </c>
      <c r="H25" s="16">
        <v>2.22984589</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23.338812090000001</v>
      </c>
      <c r="F26" s="16">
        <v>2.4567380600000002</v>
      </c>
      <c r="G26" s="14">
        <v>76.661187909999995</v>
      </c>
      <c r="H26" s="16">
        <v>2.4567380600000002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(2220/B27*100)</f>
        <v>82.743197912784197</v>
      </c>
      <c r="D27" s="15">
        <v>463</v>
      </c>
      <c r="E27" s="14">
        <v>26.075677339999999</v>
      </c>
      <c r="F27" s="16">
        <v>2.30212729</v>
      </c>
      <c r="G27" s="14">
        <v>73.924322660000001</v>
      </c>
      <c r="H27" s="16">
        <v>2.30212729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(3191/B28*100)</f>
        <v>83.907441493557727</v>
      </c>
      <c r="D28" s="15">
        <v>612</v>
      </c>
      <c r="E28" s="14">
        <v>39.837154630000001</v>
      </c>
      <c r="F28" s="16">
        <v>2.4712587400000001</v>
      </c>
      <c r="G28" s="14">
        <v>60.162845369999999</v>
      </c>
      <c r="H28" s="16">
        <v>2.4712587400000001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25.43565795</v>
      </c>
      <c r="F29" s="16">
        <v>2.23472757</v>
      </c>
      <c r="G29" s="14">
        <v>74.564342049999993</v>
      </c>
      <c r="H29" s="16">
        <v>2.23472757</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(1877/B30*100)</f>
        <v>83.163491360212674</v>
      </c>
      <c r="D30" s="15">
        <v>380</v>
      </c>
      <c r="E30" s="14">
        <v>20.048079510000001</v>
      </c>
      <c r="F30" s="16">
        <v>2.4198581799999999</v>
      </c>
      <c r="G30" s="14">
        <v>79.951920490000006</v>
      </c>
      <c r="H30" s="16">
        <v>2.4198581799999999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(2245/B31*100)</f>
        <v>82.963784183296369</v>
      </c>
      <c r="D31" s="15">
        <v>461</v>
      </c>
      <c r="E31" s="14">
        <v>30.351570469999999</v>
      </c>
      <c r="F31" s="16">
        <v>2.3020465899999998</v>
      </c>
      <c r="G31" s="14">
        <v>69.648429530000001</v>
      </c>
      <c r="H31" s="16">
        <v>2.3020465899999998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(3034/B33*100)</f>
        <v>83.1005204053684</v>
      </c>
      <c r="D33" s="15">
        <v>617</v>
      </c>
      <c r="E33" s="14">
        <v>29.676189390000001</v>
      </c>
      <c r="F33" s="16">
        <v>2.0233124</v>
      </c>
      <c r="G33" s="14">
        <v>70.323810609999995</v>
      </c>
      <c r="H33" s="16">
        <v>2.0233124</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(2534/B34*100)</f>
        <v>83.492586490939047</v>
      </c>
      <c r="D34" s="15">
        <v>501</v>
      </c>
      <c r="E34" s="14">
        <v>29.65616043</v>
      </c>
      <c r="F34" s="16">
        <v>2.44775856</v>
      </c>
      <c r="G34" s="14">
        <v>70.34383957</v>
      </c>
      <c r="H34" s="16">
        <v>2.44775856</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(2393/B35*100)</f>
        <v>82.488796966563243</v>
      </c>
      <c r="D35" s="15">
        <v>508</v>
      </c>
      <c r="E35" s="14">
        <v>19.539313369999999</v>
      </c>
      <c r="F35" s="16">
        <v>2.13258422</v>
      </c>
      <c r="G35" s="14">
        <v>80.460686629999998</v>
      </c>
      <c r="H35" s="16">
        <v>2.13258422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(2818/B36*100)</f>
        <v>82.784958871915393</v>
      </c>
      <c r="D36" s="15">
        <v>586</v>
      </c>
      <c r="E36" s="14">
        <v>19.306440630000001</v>
      </c>
      <c r="F36" s="16">
        <v>1.5849809399999999</v>
      </c>
      <c r="G36" s="14">
        <v>80.693559370000003</v>
      </c>
      <c r="H36" s="16">
        <v>1.5849809399999999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24.685981080000001</v>
      </c>
      <c r="F37" s="16">
        <v>2.0365455400000001</v>
      </c>
      <c r="G37" s="14">
        <v>75.314018919999995</v>
      </c>
      <c r="H37" s="16">
        <v>2.0365455400000001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40.267928789999999</v>
      </c>
      <c r="F39" s="16">
        <v>2.05598123</v>
      </c>
      <c r="G39" s="14">
        <v>59.732071210000001</v>
      </c>
      <c r="H39" s="16">
        <v>2.05598123</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26.817321</v>
      </c>
      <c r="F40" s="16">
        <v>1.858517</v>
      </c>
      <c r="G40" s="14">
        <v>73.182678999999993</v>
      </c>
      <c r="H40" s="16">
        <v>1.858517</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(2364/B41*100)</f>
        <v>82.831114225648221</v>
      </c>
      <c r="D41" s="15">
        <v>490</v>
      </c>
      <c r="E41" s="14">
        <v>31.894247700000001</v>
      </c>
      <c r="F41" s="16">
        <v>2.4603688699999999</v>
      </c>
      <c r="G41" s="14">
        <v>68.105752300000006</v>
      </c>
      <c r="H41" s="16">
        <v>2.4603688699999999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82.9542407849776</v>
      </c>
      <c r="D42" s="15">
        <f>IF(COUNT(D7:D41) &gt; 0, AVERAGE(D7:D41), "—")</f>
        <v>617.34375</v>
      </c>
      <c r="E42" s="14">
        <f>IF(COUNT(E7:E41) &gt; 0, AVERAGE(E7:E41), "—")</f>
        <v>27.383982769374995</v>
      </c>
      <c r="F42" s="16">
        <f>IF(COUNT(F7:F41) &gt; 0, SQRT(SUMSQ(F7:F41)/(COUNT(F7:F41)*COUNT(F7:F41)) ), "—")</f>
        <v>0.38357189559793342</v>
      </c>
      <c r="G42" s="14">
        <f>IF(COUNT(G7:G41) &gt; 0, AVERAGE(G7:G41), "—")</f>
        <v>72.616017230625005</v>
      </c>
      <c r="H42" s="16">
        <f>IF(COUNT(H7:H41) &gt; 0, SQRT(SUMSQ(H7:H41)/(COUNT(H7:H41)*COUNT(H7:H41)) ), "—")</f>
        <v>0.38357189559793342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(10154/B46*100)</f>
        <v>84.10502774786714</v>
      </c>
      <c r="D46" s="15">
        <v>1919</v>
      </c>
      <c r="E46" s="14">
        <v>51.498869339999999</v>
      </c>
      <c r="F46" s="16">
        <v>1.58425503</v>
      </c>
      <c r="G46" s="14">
        <v>48.501130660000001</v>
      </c>
      <c r="H46" s="16">
        <v>1.58425503</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(2354/B47*100)</f>
        <v>83.386468296138858</v>
      </c>
      <c r="D47" s="15">
        <v>469</v>
      </c>
      <c r="E47" s="14">
        <v>32.559266170000001</v>
      </c>
      <c r="F47" s="16">
        <v>2.2439757999999999</v>
      </c>
      <c r="G47" s="14">
        <v>67.440733829999999</v>
      </c>
      <c r="H47" s="16">
        <v>2.2439757999999999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(3861/B48*100)</f>
        <v>82.464758650149506</v>
      </c>
      <c r="D48" s="15">
        <v>821</v>
      </c>
      <c r="E48" s="14">
        <v>43.352578049999998</v>
      </c>
      <c r="F48" s="16">
        <v>2.4901114600000001</v>
      </c>
      <c r="G48" s="14">
        <v>56.647421950000002</v>
      </c>
      <c r="H48" s="16">
        <v>2.4901114600000001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48.115442729999998</v>
      </c>
      <c r="F50" s="16">
        <v>2.45841464</v>
      </c>
      <c r="G50" s="14">
        <v>51.884557270000002</v>
      </c>
      <c r="H50" s="16">
        <v>2.45841464</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(2974/B51*100)</f>
        <v>85.117344018317127</v>
      </c>
      <c r="D51" s="15">
        <v>520</v>
      </c>
      <c r="E51" s="14">
        <v>38.619374899999997</v>
      </c>
      <c r="F51" s="16">
        <v>2.4318115100000002</v>
      </c>
      <c r="G51" s="14">
        <v>61.380625100000003</v>
      </c>
      <c r="H51" s="16">
        <v>2.4318115100000002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29.493267580000001</v>
      </c>
      <c r="F52" s="16">
        <v>2.0617648900000001</v>
      </c>
      <c r="G52" s="14">
        <v>70.506732420000006</v>
      </c>
      <c r="H52" s="16">
        <v>2.0617648900000001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(2272/B53*100)</f>
        <v>82.318840579710141</v>
      </c>
      <c r="D53" s="15">
        <v>488</v>
      </c>
      <c r="E53" s="14">
        <v>39.085123340000003</v>
      </c>
      <c r="F53" s="16">
        <v>2.37463902</v>
      </c>
      <c r="G53" s="14">
        <v>60.914876659999997</v>
      </c>
      <c r="H53" s="16">
        <v>2.37463902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30.598881200000001</v>
      </c>
      <c r="F56" s="16">
        <v>1.9135677200000001</v>
      </c>
      <c r="G56" s="14">
        <v>69.401118800000006</v>
      </c>
      <c r="H56" s="16">
        <v>1.9135677200000001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30.683681100000001</v>
      </c>
      <c r="F61" s="16">
        <v>2.3424573799999999</v>
      </c>
      <c r="G61" s="14">
        <v>69.316318899999999</v>
      </c>
      <c r="H61" s="16">
        <v>2.3424573799999999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(1837/B62*100)</f>
        <v>82.376681614349778</v>
      </c>
      <c r="D62" s="15">
        <v>393</v>
      </c>
      <c r="E62" s="14">
        <v>33.396761619999999</v>
      </c>
      <c r="F62" s="16">
        <v>2.5118329099999999</v>
      </c>
      <c r="G62" s="14">
        <v>66.603238379999993</v>
      </c>
      <c r="H62" s="16">
        <v>2.5118329099999999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(2298/B66*100)</f>
        <v>82.930350054132091</v>
      </c>
      <c r="D66" s="15">
        <v>473</v>
      </c>
      <c r="E66" s="14">
        <v>49.087557050000001</v>
      </c>
      <c r="F66" s="16">
        <v>2.2843909600000001</v>
      </c>
      <c r="G66" s="14">
        <v>50.912442949999999</v>
      </c>
      <c r="H66" s="16">
        <v>2.2843909600000001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(2873/B67*100)</f>
        <v>83.034682080924853</v>
      </c>
      <c r="D67" s="15">
        <v>587</v>
      </c>
      <c r="E67" s="14">
        <v>53.615004159999998</v>
      </c>
      <c r="F67" s="16">
        <v>2.2432906799999999</v>
      </c>
      <c r="G67" s="14">
        <v>46.384995840000002</v>
      </c>
      <c r="H67" s="16">
        <v>2.2432906799999999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(2572/B70*100)</f>
        <v>82.780817508850973</v>
      </c>
      <c r="D70" s="15">
        <v>535</v>
      </c>
      <c r="E70" s="14">
        <v>34.080384389999999</v>
      </c>
      <c r="F70" s="16">
        <v>2.40430359</v>
      </c>
      <c r="G70" s="14">
        <v>65.919615609999994</v>
      </c>
      <c r="H70" s="16">
        <v>2.40430359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29.52164762</v>
      </c>
      <c r="F72" s="16">
        <v>1.7636186599999999</v>
      </c>
      <c r="G72" s="14">
        <v>70.478352380000004</v>
      </c>
      <c r="H72" s="16">
        <v>1.7636186599999999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(3882/B73*100)</f>
        <v>83.447979363714524</v>
      </c>
      <c r="D73" s="15">
        <v>770</v>
      </c>
      <c r="E73" s="14">
        <v>45.43447579</v>
      </c>
      <c r="F73" s="16">
        <v>1.7099880199999999</v>
      </c>
      <c r="G73" s="14">
        <v>54.56552421</v>
      </c>
      <c r="H73" s="16">
        <v>1.7099880199999999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(2468/B75*100)</f>
        <v>83.125631525766252</v>
      </c>
      <c r="D75" s="15">
        <v>501</v>
      </c>
      <c r="E75" s="14">
        <v>49.953935620000003</v>
      </c>
      <c r="F75" s="16">
        <v>2.6753193799999999</v>
      </c>
      <c r="G75" s="14">
        <v>50.046064379999997</v>
      </c>
      <c r="H75" s="16">
        <v>2.6753193799999999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43.469468470000002</v>
      </c>
      <c r="F76" s="16">
        <v>2.3084955599999999</v>
      </c>
      <c r="G76" s="14">
        <v>56.530531529999998</v>
      </c>
      <c r="H76" s="16">
        <v>2.3084955599999999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(2605/B77*100)</f>
        <v>82.593532022828157</v>
      </c>
      <c r="D77" s="15">
        <v>549</v>
      </c>
      <c r="E77" s="14">
        <v>43.579842739999997</v>
      </c>
      <c r="F77" s="16">
        <v>2.2260930800000001</v>
      </c>
      <c r="G77" s="14">
        <v>56.420157260000003</v>
      </c>
      <c r="H77" s="16">
        <v>2.2260930800000001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52.546220550000001</v>
      </c>
      <c r="F81" s="16">
        <v>2.3841850299999998</v>
      </c>
      <c r="G81" s="14">
        <v>47.453779449999999</v>
      </c>
      <c r="H81" s="16">
        <v>2.3841850299999998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(5953/B7*100)</f>
        <v>83.107636465168227</v>
      </c>
      <c r="D7" s="15">
        <v>1210</v>
      </c>
      <c r="E7" s="14">
        <v>33.908471749999997</v>
      </c>
      <c r="F7" s="16">
        <v>1.61489072</v>
      </c>
      <c r="G7" s="14">
        <v>66.091528249999996</v>
      </c>
      <c r="H7" s="16">
        <v>1.61489072</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31.312763520000001</v>
      </c>
      <c r="F8" s="16">
        <v>2.23774278</v>
      </c>
      <c r="G8" s="14">
        <v>68.687236479999996</v>
      </c>
      <c r="H8" s="16">
        <v>2.23774278</v>
      </c>
      <c r="I8" s="14" t="s">
        <v>139</v>
      </c>
      <c r="J8" s="16" t="s">
        <v>139</v>
      </c>
      <c r="K8" s="14">
        <v>0</v>
      </c>
      <c r="L8" s="16">
        <v>0</v>
      </c>
      <c r="M8" s="14">
        <v>0</v>
      </c>
      <c r="N8" s="16">
        <v>0</v>
      </c>
      <c r="O8" s="14">
        <v>0</v>
      </c>
      <c r="P8" s="16">
        <v>0</v>
      </c>
      <c r="Q8" s="14">
        <v>0</v>
      </c>
      <c r="R8" s="16">
        <v>0</v>
      </c>
    </row>
    <row r="9" spans="1:18" x14ac:dyDescent="0.25">
      <c r="A9" s="11" t="s">
        <v>141</v>
      </c>
      <c r="B9" s="13">
        <v>4752</v>
      </c>
      <c r="C9" s="14">
        <f>(3918/B9*100)</f>
        <v>82.449494949494948</v>
      </c>
      <c r="D9" s="15">
        <v>834</v>
      </c>
      <c r="E9" s="14">
        <v>34.234184839999998</v>
      </c>
      <c r="F9" s="16">
        <v>1.8555956</v>
      </c>
      <c r="G9" s="14">
        <v>65.765815160000002</v>
      </c>
      <c r="H9" s="16">
        <v>1.8555956</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32.182152170000002</v>
      </c>
      <c r="F10" s="16">
        <v>1.4371015499999999</v>
      </c>
      <c r="G10" s="14">
        <v>67.817847830000005</v>
      </c>
      <c r="H10" s="16">
        <v>1.4371015499999999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(2895/B11*100)</f>
        <v>82.714285714285722</v>
      </c>
      <c r="D11" s="15">
        <v>605</v>
      </c>
      <c r="E11" s="14">
        <v>54.071039720000002</v>
      </c>
      <c r="F11" s="16">
        <v>2.07718969</v>
      </c>
      <c r="G11" s="14">
        <v>45.928960279999998</v>
      </c>
      <c r="H11" s="16">
        <v>2.07718969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(2846/B12*100)</f>
        <v>83.167738164815901</v>
      </c>
      <c r="D12" s="15">
        <v>576</v>
      </c>
      <c r="E12" s="14">
        <v>36.80274129</v>
      </c>
      <c r="F12" s="16">
        <v>2.2991485800000002</v>
      </c>
      <c r="G12" s="14">
        <v>63.19725871</v>
      </c>
      <c r="H12" s="16">
        <v>2.2991485800000002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29.09575207</v>
      </c>
      <c r="F13" s="16">
        <v>2.4773793300000002</v>
      </c>
      <c r="G13" s="14">
        <v>70.904247929999997</v>
      </c>
      <c r="H13" s="16">
        <v>2.4773793300000002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33.675893909999999</v>
      </c>
      <c r="F14" s="16">
        <v>2.4489445000000001</v>
      </c>
      <c r="G14" s="14">
        <v>66.324106090000001</v>
      </c>
      <c r="H14" s="16">
        <v>2.4489445000000001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(2382/B15*100)</f>
        <v>83.199441145651406</v>
      </c>
      <c r="D15" s="15">
        <v>481</v>
      </c>
      <c r="E15" s="14">
        <v>27.692695100000002</v>
      </c>
      <c r="F15" s="16">
        <v>2.0670532700000002</v>
      </c>
      <c r="G15" s="14">
        <v>72.307304900000005</v>
      </c>
      <c r="H15" s="16">
        <v>2.0670532700000002</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33.935316899999997</v>
      </c>
      <c r="F16" s="16">
        <v>2.3973334999999998</v>
      </c>
      <c r="G16" s="14">
        <v>66.064683099999996</v>
      </c>
      <c r="H16" s="16">
        <v>2.3973334999999998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(2641/B17*100)</f>
        <v>82.608695652173907</v>
      </c>
      <c r="D17" s="15">
        <v>556</v>
      </c>
      <c r="E17" s="14">
        <v>25.61673347</v>
      </c>
      <c r="F17" s="16">
        <v>2.0924456199999999</v>
      </c>
      <c r="G17" s="14">
        <v>74.38326653</v>
      </c>
      <c r="H17" s="16">
        <v>2.0924456199999999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(2230/B18*100)</f>
        <v>82.409460458240943</v>
      </c>
      <c r="D18" s="15">
        <v>476</v>
      </c>
      <c r="E18" s="14">
        <v>51.681048359999998</v>
      </c>
      <c r="F18" s="16">
        <v>2.5541102200000001</v>
      </c>
      <c r="G18" s="14">
        <v>48.318951640000002</v>
      </c>
      <c r="H18" s="16">
        <v>2.5541102200000001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33.196137929999999</v>
      </c>
      <c r="F19" s="16">
        <v>2.1944324900000001</v>
      </c>
      <c r="G19" s="14">
        <v>66.803862069999994</v>
      </c>
      <c r="H19" s="16">
        <v>2.1944324900000001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38.649504280000002</v>
      </c>
      <c r="F20" s="16">
        <v>3.0304934399999999</v>
      </c>
      <c r="G20" s="14">
        <v>61.350495719999998</v>
      </c>
      <c r="H20" s="16">
        <v>3.0304934399999999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(3116/B22*100)</f>
        <v>84.974093264248708</v>
      </c>
      <c r="D22" s="15">
        <v>551</v>
      </c>
      <c r="E22" s="14">
        <v>48.203059699999997</v>
      </c>
      <c r="F22" s="16">
        <v>2.0018221999999999</v>
      </c>
      <c r="G22" s="14">
        <v>51.796940300000003</v>
      </c>
      <c r="H22" s="16">
        <v>2.0018221999999999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(4792/B23*100)</f>
        <v>82.734806629834253</v>
      </c>
      <c r="D23" s="15">
        <v>1000</v>
      </c>
      <c r="E23" s="14">
        <v>44.131555710000001</v>
      </c>
      <c r="F23" s="16">
        <v>2.41572465</v>
      </c>
      <c r="G23" s="14">
        <v>55.868444289999999</v>
      </c>
      <c r="H23" s="16">
        <v>2.41572465</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(2741/B24*100)</f>
        <v>82.834693260803874</v>
      </c>
      <c r="D24" s="15">
        <v>568</v>
      </c>
      <c r="E24" s="14">
        <v>37.322567190000001</v>
      </c>
      <c r="F24" s="16">
        <v>2.1400423499999999</v>
      </c>
      <c r="G24" s="14">
        <v>62.677432809999999</v>
      </c>
      <c r="H24" s="16">
        <v>2.1400423499999999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30.103584640000001</v>
      </c>
      <c r="F25" s="16">
        <v>2.30297295</v>
      </c>
      <c r="G25" s="14">
        <v>69.896415360000006</v>
      </c>
      <c r="H25" s="16">
        <v>2.30297295</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41.104004940000003</v>
      </c>
      <c r="F26" s="16">
        <v>2.8391496100000002</v>
      </c>
      <c r="G26" s="14">
        <v>58.895995059999997</v>
      </c>
      <c r="H26" s="16">
        <v>2.8391496100000002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(2220/B27*100)</f>
        <v>82.743197912784197</v>
      </c>
      <c r="D27" s="15">
        <v>463</v>
      </c>
      <c r="E27" s="14">
        <v>35.345239079999999</v>
      </c>
      <c r="F27" s="16">
        <v>2.4574999800000001</v>
      </c>
      <c r="G27" s="14">
        <v>64.654760920000001</v>
      </c>
      <c r="H27" s="16">
        <v>2.4574999800000001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(3191/B28*100)</f>
        <v>83.907441493557727</v>
      </c>
      <c r="D28" s="15">
        <v>612</v>
      </c>
      <c r="E28" s="14">
        <v>59.229015699999998</v>
      </c>
      <c r="F28" s="16">
        <v>2.05936831</v>
      </c>
      <c r="G28" s="14">
        <v>40.770984300000002</v>
      </c>
      <c r="H28" s="16">
        <v>2.05936831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40.465820180000001</v>
      </c>
      <c r="F29" s="16">
        <v>2.5575846900000001</v>
      </c>
      <c r="G29" s="14">
        <v>59.534179819999999</v>
      </c>
      <c r="H29" s="16">
        <v>2.5575846900000001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(1877/B30*100)</f>
        <v>83.163491360212674</v>
      </c>
      <c r="D30" s="15">
        <v>380</v>
      </c>
      <c r="E30" s="14">
        <v>30.74383645</v>
      </c>
      <c r="F30" s="16">
        <v>2.2801971399999998</v>
      </c>
      <c r="G30" s="14">
        <v>69.256163549999997</v>
      </c>
      <c r="H30" s="16">
        <v>2.2801971399999998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(2245/B31*100)</f>
        <v>82.963784183296369</v>
      </c>
      <c r="D31" s="15">
        <v>461</v>
      </c>
      <c r="E31" s="14">
        <v>35.955572310000001</v>
      </c>
      <c r="F31" s="16">
        <v>2.2673114000000001</v>
      </c>
      <c r="G31" s="14">
        <v>64.044427690000006</v>
      </c>
      <c r="H31" s="16">
        <v>2.2673114000000001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(3034/B33*100)</f>
        <v>83.1005204053684</v>
      </c>
      <c r="D33" s="15">
        <v>617</v>
      </c>
      <c r="E33" s="14">
        <v>33.76990078</v>
      </c>
      <c r="F33" s="16">
        <v>2.3577708999999998</v>
      </c>
      <c r="G33" s="14">
        <v>66.23009922</v>
      </c>
      <c r="H33" s="16">
        <v>2.3577708999999998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(2534/B34*100)</f>
        <v>83.492586490939047</v>
      </c>
      <c r="D34" s="15">
        <v>501</v>
      </c>
      <c r="E34" s="14">
        <v>38.252635650000002</v>
      </c>
      <c r="F34" s="16">
        <v>2.2961424899999998</v>
      </c>
      <c r="G34" s="14">
        <v>61.747364349999998</v>
      </c>
      <c r="H34" s="16">
        <v>2.2961424899999998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(2393/B35*100)</f>
        <v>82.488796966563243</v>
      </c>
      <c r="D35" s="15">
        <v>508</v>
      </c>
      <c r="E35" s="14">
        <v>32.025021369999997</v>
      </c>
      <c r="F35" s="16">
        <v>2.4840995499999998</v>
      </c>
      <c r="G35" s="14">
        <v>67.974978629999995</v>
      </c>
      <c r="H35" s="16">
        <v>2.4840995499999998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(2818/B36*100)</f>
        <v>82.784958871915393</v>
      </c>
      <c r="D36" s="15">
        <v>586</v>
      </c>
      <c r="E36" s="14">
        <v>27.31987698</v>
      </c>
      <c r="F36" s="16">
        <v>1.84395832</v>
      </c>
      <c r="G36" s="14">
        <v>72.680123019999996</v>
      </c>
      <c r="H36" s="16">
        <v>1.84395832</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34.034590530000003</v>
      </c>
      <c r="F37" s="16">
        <v>2.6255655999999998</v>
      </c>
      <c r="G37" s="14">
        <v>65.965409469999997</v>
      </c>
      <c r="H37" s="16">
        <v>2.6255655999999998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53.778470390000003</v>
      </c>
      <c r="F39" s="16">
        <v>2.0483442200000002</v>
      </c>
      <c r="G39" s="14">
        <v>46.221529609999997</v>
      </c>
      <c r="H39" s="16">
        <v>2.0483442200000002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31.789405500000001</v>
      </c>
      <c r="F40" s="16">
        <v>2.14496771</v>
      </c>
      <c r="G40" s="14">
        <v>68.210594499999999</v>
      </c>
      <c r="H40" s="16">
        <v>2.14496771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(2364/B41*100)</f>
        <v>82.831114225648221</v>
      </c>
      <c r="D41" s="15">
        <v>490</v>
      </c>
      <c r="E41" s="14">
        <v>38.14378473</v>
      </c>
      <c r="F41" s="16">
        <v>2.2260884700000001</v>
      </c>
      <c r="G41" s="14">
        <v>61.85621527</v>
      </c>
      <c r="H41" s="16">
        <v>2.2260884700000001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82.9542407849776</v>
      </c>
      <c r="D42" s="15">
        <f>IF(COUNT(D7:D41) &gt; 0, AVERAGE(D7:D41), "—")</f>
        <v>617.34375</v>
      </c>
      <c r="E42" s="14">
        <f>IF(COUNT(E7:E41) &gt; 0, AVERAGE(E7:E41), "—")</f>
        <v>37.117886785625004</v>
      </c>
      <c r="F42" s="16">
        <f>IF(COUNT(F7:F41) &gt; 0, SQRT(SUMSQ(F7:F41)/(COUNT(F7:F41)*COUNT(F7:F41)) ), "—")</f>
        <v>0.40235791586864039</v>
      </c>
      <c r="G42" s="14">
        <f>IF(COUNT(G7:G41) &gt; 0, AVERAGE(G7:G41), "—")</f>
        <v>62.882113214374989</v>
      </c>
      <c r="H42" s="16">
        <f>IF(COUNT(H7:H41) &gt; 0, SQRT(SUMSQ(H7:H41)/(COUNT(H7:H41)*COUNT(H7:H41)) ), "—")</f>
        <v>0.40235791586864039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(10154/B46*100)</f>
        <v>84.10502774786714</v>
      </c>
      <c r="D46" s="15">
        <v>1919</v>
      </c>
      <c r="E46" s="14">
        <v>59.559416910000003</v>
      </c>
      <c r="F46" s="16">
        <v>1.6338204000000001</v>
      </c>
      <c r="G46" s="14">
        <v>40.440583089999997</v>
      </c>
      <c r="H46" s="16">
        <v>1.6338204000000001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(2354/B47*100)</f>
        <v>83.386468296138858</v>
      </c>
      <c r="D47" s="15">
        <v>469</v>
      </c>
      <c r="E47" s="14">
        <v>48.991414820000003</v>
      </c>
      <c r="F47" s="16">
        <v>2.4383757500000001</v>
      </c>
      <c r="G47" s="14">
        <v>51.008585179999997</v>
      </c>
      <c r="H47" s="16">
        <v>2.4383757500000001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(3861/B48*100)</f>
        <v>82.464758650149506</v>
      </c>
      <c r="D48" s="15">
        <v>821</v>
      </c>
      <c r="E48" s="14">
        <v>47.55471713</v>
      </c>
      <c r="F48" s="16">
        <v>2.5470972299999999</v>
      </c>
      <c r="G48" s="14">
        <v>52.44528287</v>
      </c>
      <c r="H48" s="16">
        <v>2.5470972299999999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55.526481939999996</v>
      </c>
      <c r="F50" s="16">
        <v>2.2390855599999999</v>
      </c>
      <c r="G50" s="14">
        <v>44.473518060000004</v>
      </c>
      <c r="H50" s="16">
        <v>2.2390855599999999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(2974/B51*100)</f>
        <v>85.117344018317127</v>
      </c>
      <c r="D51" s="15">
        <v>520</v>
      </c>
      <c r="E51" s="14">
        <v>51.155201949999999</v>
      </c>
      <c r="F51" s="16">
        <v>2.2880058700000001</v>
      </c>
      <c r="G51" s="14">
        <v>48.844798050000001</v>
      </c>
      <c r="H51" s="16">
        <v>2.2880058700000001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60.893140299999999</v>
      </c>
      <c r="F52" s="16">
        <v>2.3200932399999998</v>
      </c>
      <c r="G52" s="14">
        <v>39.106859700000001</v>
      </c>
      <c r="H52" s="16">
        <v>2.3200932399999998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(2272/B53*100)</f>
        <v>82.318840579710141</v>
      </c>
      <c r="D53" s="15">
        <v>488</v>
      </c>
      <c r="E53" s="14">
        <v>52.084992929999999</v>
      </c>
      <c r="F53" s="16">
        <v>2.5911254600000002</v>
      </c>
      <c r="G53" s="14">
        <v>47.915007070000001</v>
      </c>
      <c r="H53" s="16">
        <v>2.5911254600000002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28.02592074</v>
      </c>
      <c r="F56" s="16">
        <v>2.2622906500000002</v>
      </c>
      <c r="G56" s="14">
        <v>71.974079259999996</v>
      </c>
      <c r="H56" s="16">
        <v>2.2622906500000002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50.954450710000003</v>
      </c>
      <c r="F61" s="16">
        <v>2.30846324</v>
      </c>
      <c r="G61" s="14">
        <v>49.045549289999997</v>
      </c>
      <c r="H61" s="16">
        <v>2.30846324</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(1837/B62*100)</f>
        <v>82.376681614349778</v>
      </c>
      <c r="D62" s="15">
        <v>393</v>
      </c>
      <c r="E62" s="14">
        <v>35.987915110000003</v>
      </c>
      <c r="F62" s="16">
        <v>2.5526988799999999</v>
      </c>
      <c r="G62" s="14">
        <v>64.012084889999997</v>
      </c>
      <c r="H62" s="16">
        <v>2.5526988799999999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(2298/B66*100)</f>
        <v>82.930350054132091</v>
      </c>
      <c r="D66" s="15">
        <v>473</v>
      </c>
      <c r="E66" s="14">
        <v>64.331582670000003</v>
      </c>
      <c r="F66" s="16">
        <v>2.1201236699999999</v>
      </c>
      <c r="G66" s="14">
        <v>35.668417329999997</v>
      </c>
      <c r="H66" s="16">
        <v>2.1201236699999999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(2873/B67*100)</f>
        <v>83.034682080924853</v>
      </c>
      <c r="D67" s="15">
        <v>587</v>
      </c>
      <c r="E67" s="14">
        <v>66.903686300000004</v>
      </c>
      <c r="F67" s="16">
        <v>1.9979806499999999</v>
      </c>
      <c r="G67" s="14">
        <v>33.096313700000003</v>
      </c>
      <c r="H67" s="16">
        <v>1.9979806499999999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(2572/B70*100)</f>
        <v>82.780817508850973</v>
      </c>
      <c r="D70" s="15">
        <v>535</v>
      </c>
      <c r="E70" s="14">
        <v>51.6832353</v>
      </c>
      <c r="F70" s="16">
        <v>2.2237950500000001</v>
      </c>
      <c r="G70" s="14">
        <v>48.3167647</v>
      </c>
      <c r="H70" s="16">
        <v>2.2237950500000001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40.409286109999996</v>
      </c>
      <c r="F72" s="16">
        <v>2.1247262099999999</v>
      </c>
      <c r="G72" s="14">
        <v>59.590713890000004</v>
      </c>
      <c r="H72" s="16">
        <v>2.1247262099999999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(3882/B73*100)</f>
        <v>83.447979363714524</v>
      </c>
      <c r="D73" s="15">
        <v>770</v>
      </c>
      <c r="E73" s="14">
        <v>52.707211440000002</v>
      </c>
      <c r="F73" s="16">
        <v>2.3150661399999999</v>
      </c>
      <c r="G73" s="14">
        <v>47.292788559999998</v>
      </c>
      <c r="H73" s="16">
        <v>2.3150661399999999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(2468/B75*100)</f>
        <v>83.125631525766252</v>
      </c>
      <c r="D75" s="15">
        <v>501</v>
      </c>
      <c r="E75" s="14">
        <v>73.281801920000007</v>
      </c>
      <c r="F75" s="16">
        <v>2.0863521999999999</v>
      </c>
      <c r="G75" s="14">
        <v>26.718198080000001</v>
      </c>
      <c r="H75" s="16">
        <v>2.0863521999999999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55.273511139999997</v>
      </c>
      <c r="F76" s="16">
        <v>1.9437735599999999</v>
      </c>
      <c r="G76" s="14">
        <v>44.726488860000003</v>
      </c>
      <c r="H76" s="16">
        <v>1.9437735599999999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(2605/B77*100)</f>
        <v>82.593532022828157</v>
      </c>
      <c r="D77" s="15">
        <v>549</v>
      </c>
      <c r="E77" s="14">
        <v>48.020952579999999</v>
      </c>
      <c r="F77" s="16">
        <v>2.17364501</v>
      </c>
      <c r="G77" s="14">
        <v>51.979047420000001</v>
      </c>
      <c r="H77" s="16">
        <v>2.17364501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64.236421789999994</v>
      </c>
      <c r="F81" s="16">
        <v>2.2938908200000001</v>
      </c>
      <c r="G81" s="14">
        <v>35.763578209999999</v>
      </c>
      <c r="H81" s="16">
        <v>2.2938908200000001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(5953/B7*100)</f>
        <v>83.107636465168227</v>
      </c>
      <c r="D7" s="15">
        <v>1210</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3443</v>
      </c>
      <c r="C8" s="14">
        <f>(2860/B8*100)</f>
        <v>83.067092651757193</v>
      </c>
      <c r="D8" s="15">
        <v>583</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4752</v>
      </c>
      <c r="C9" s="14">
        <f>(3918/B9*100)</f>
        <v>82.449494949494948</v>
      </c>
      <c r="D9" s="15">
        <v>834</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10022</v>
      </c>
      <c r="C10" s="14">
        <f>(8273/B10*100)</f>
        <v>82.548393534224701</v>
      </c>
      <c r="D10" s="15">
        <v>1749</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3500</v>
      </c>
      <c r="C11" s="14">
        <f>(2895/B11*100)</f>
        <v>82.714285714285722</v>
      </c>
      <c r="D11" s="15">
        <v>605</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3422</v>
      </c>
      <c r="C12" s="14">
        <f>(2846/B12*100)</f>
        <v>83.167738164815901</v>
      </c>
      <c r="D12" s="15">
        <v>576</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3602</v>
      </c>
      <c r="C13" s="14">
        <f>(3008/B13*100)</f>
        <v>83.509161576901718</v>
      </c>
      <c r="D13" s="15">
        <v>594</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2788</v>
      </c>
      <c r="C14" s="14">
        <f>(2313/B14*100)</f>
        <v>82.962697274031555</v>
      </c>
      <c r="D14" s="15">
        <v>475</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2863</v>
      </c>
      <c r="C15" s="14">
        <f>(2382/B15*100)</f>
        <v>83.199441145651406</v>
      </c>
      <c r="D15" s="15">
        <v>481</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3111</v>
      </c>
      <c r="C16" s="14">
        <f>(2564/B16*100)</f>
        <v>82.417229186756671</v>
      </c>
      <c r="D16" s="15">
        <v>547</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3197</v>
      </c>
      <c r="C17" s="14">
        <f>(2641/B17*100)</f>
        <v>82.608695652173907</v>
      </c>
      <c r="D17" s="15">
        <v>556</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2706</v>
      </c>
      <c r="C18" s="14">
        <f>(2230/B18*100)</f>
        <v>82.409460458240943</v>
      </c>
      <c r="D18" s="15">
        <v>476</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2850</v>
      </c>
      <c r="C19" s="14">
        <f>(2364/B19*100)</f>
        <v>82.94736842105263</v>
      </c>
      <c r="D19" s="15">
        <v>486</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1741</v>
      </c>
      <c r="C20" s="14">
        <f>(1441/B20*100)</f>
        <v>82.76852383687536</v>
      </c>
      <c r="D20" s="15">
        <v>300</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(3116/B22*100)</f>
        <v>84.974093264248708</v>
      </c>
      <c r="D22" s="15">
        <v>551</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5792</v>
      </c>
      <c r="C23" s="14">
        <f>(4792/B23*100)</f>
        <v>82.734806629834253</v>
      </c>
      <c r="D23" s="15">
        <v>1000</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3309</v>
      </c>
      <c r="C24" s="14">
        <f>(2741/B24*100)</f>
        <v>82.834693260803874</v>
      </c>
      <c r="D24" s="15">
        <v>568</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2669</v>
      </c>
      <c r="C25" s="14">
        <f>(2209/B25*100)</f>
        <v>82.765080554514796</v>
      </c>
      <c r="D25" s="15">
        <v>460</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2419</v>
      </c>
      <c r="C26" s="14">
        <f>(1999/B26*100)</f>
        <v>82.637453493179009</v>
      </c>
      <c r="D26" s="15">
        <v>420</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2683</v>
      </c>
      <c r="C27" s="14">
        <f>(2220/B27*100)</f>
        <v>82.743197912784197</v>
      </c>
      <c r="D27" s="15">
        <v>463</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3803</v>
      </c>
      <c r="C28" s="14">
        <f>(3191/B28*100)</f>
        <v>83.907441493557727</v>
      </c>
      <c r="D28" s="15">
        <v>612</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2700</v>
      </c>
      <c r="C29" s="14">
        <f>(2246/B29*100)</f>
        <v>83.18518518518519</v>
      </c>
      <c r="D29" s="15">
        <v>454</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2257</v>
      </c>
      <c r="C30" s="14">
        <f>(1877/B30*100)</f>
        <v>83.163491360212674</v>
      </c>
      <c r="D30" s="15">
        <v>380</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2706</v>
      </c>
      <c r="C31" s="14">
        <f>(2245/B31*100)</f>
        <v>82.963784183296369</v>
      </c>
      <c r="D31" s="15">
        <v>461</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(3034/B33*100)</f>
        <v>83.1005204053684</v>
      </c>
      <c r="D33" s="15">
        <v>617</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3035</v>
      </c>
      <c r="C34" s="14">
        <f>(2534/B34*100)</f>
        <v>83.492586490939047</v>
      </c>
      <c r="D34" s="15">
        <v>501</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2901</v>
      </c>
      <c r="C35" s="14">
        <f>(2393/B35*100)</f>
        <v>82.488796966563243</v>
      </c>
      <c r="D35" s="15">
        <v>508</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3404</v>
      </c>
      <c r="C36" s="14">
        <f>(2818/B36*100)</f>
        <v>82.784958871915393</v>
      </c>
      <c r="D36" s="15">
        <v>586</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2731</v>
      </c>
      <c r="C37" s="14">
        <f>(2294/B37*100)</f>
        <v>83.998535335042106</v>
      </c>
      <c r="D37" s="15">
        <v>437</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6922</v>
      </c>
      <c r="C40" s="14">
        <f>(5673/B40*100)</f>
        <v>81.956082057208903</v>
      </c>
      <c r="D40" s="15">
        <v>1249</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2854</v>
      </c>
      <c r="C41" s="14">
        <f>(2364/B41*100)</f>
        <v>82.831114225648221</v>
      </c>
      <c r="D41" s="15">
        <v>490</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3612.53125</v>
      </c>
      <c r="C42" s="14">
        <f>IF(COUNT(C7:C41) &gt; 0, AVERAGE(C7:C41), "—")</f>
        <v>82.9542407849776</v>
      </c>
      <c r="D42" s="15">
        <f>IF(COUNT(D7:D41) &gt; 0, AVERAGE(D7:D41), "—")</f>
        <v>617.34375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(10154/B46*100)</f>
        <v>84.10502774786714</v>
      </c>
      <c r="D46" s="15">
        <v>1919</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2823</v>
      </c>
      <c r="C47" s="14">
        <f>(2354/B47*100)</f>
        <v>83.386468296138858</v>
      </c>
      <c r="D47" s="15">
        <v>469</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4682</v>
      </c>
      <c r="C48" s="14">
        <f>(3861/B48*100)</f>
        <v>82.464758650149506</v>
      </c>
      <c r="D48" s="15">
        <v>821</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3494</v>
      </c>
      <c r="C51" s="14">
        <f>(2974/B51*100)</f>
        <v>85.117344018317127</v>
      </c>
      <c r="D51" s="15">
        <v>520</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3013</v>
      </c>
      <c r="C52" s="14">
        <f>(2495/B52*100)</f>
        <v>82.80783272485894</v>
      </c>
      <c r="D52" s="15">
        <v>518</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2760</v>
      </c>
      <c r="C53" s="14">
        <f>(2272/B53*100)</f>
        <v>82.318840579710141</v>
      </c>
      <c r="D53" s="15">
        <v>488</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2230</v>
      </c>
      <c r="C62" s="14">
        <f>(1837/B62*100)</f>
        <v>82.376681614349778</v>
      </c>
      <c r="D62" s="15">
        <v>393</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(2298/B66*100)</f>
        <v>82.930350054132091</v>
      </c>
      <c r="D66" s="15">
        <v>473</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3460</v>
      </c>
      <c r="C67" s="14">
        <f>(2873/B67*100)</f>
        <v>83.034682080924853</v>
      </c>
      <c r="D67" s="15">
        <v>587</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(2572/B70*100)</f>
        <v>82.780817508850973</v>
      </c>
      <c r="D70" s="15">
        <v>535</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4652</v>
      </c>
      <c r="C73" s="14">
        <f>(3882/B73*100)</f>
        <v>83.447979363714524</v>
      </c>
      <c r="D73" s="15">
        <v>770</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(2468/B75*100)</f>
        <v>83.125631525766252</v>
      </c>
      <c r="D75" s="15">
        <v>501</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7115</v>
      </c>
      <c r="C76" s="14">
        <f>(5910/B76*100)</f>
        <v>83.063949402670417</v>
      </c>
      <c r="D76" s="15">
        <v>1205</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3154</v>
      </c>
      <c r="C77" s="14">
        <f>(2605/B77*100)</f>
        <v>82.593532022828157</v>
      </c>
      <c r="D77" s="15">
        <v>549</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(5953/B7*100)</f>
        <v>83.107636465168227</v>
      </c>
      <c r="D7" s="15">
        <v>1210</v>
      </c>
      <c r="E7" s="14">
        <v>57.298146860000003</v>
      </c>
      <c r="F7" s="16">
        <v>1.6959717299999999</v>
      </c>
      <c r="G7" s="14">
        <v>42.701853139999997</v>
      </c>
      <c r="H7" s="16">
        <v>1.6959717299999999</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62.934561770000002</v>
      </c>
      <c r="F8" s="16">
        <v>2.1831907699999999</v>
      </c>
      <c r="G8" s="14">
        <v>37.065438229999998</v>
      </c>
      <c r="H8" s="16">
        <v>2.1831907699999999</v>
      </c>
      <c r="I8" s="14" t="s">
        <v>139</v>
      </c>
      <c r="J8" s="16" t="s">
        <v>139</v>
      </c>
      <c r="K8" s="14">
        <v>0</v>
      </c>
      <c r="L8" s="16">
        <v>0</v>
      </c>
      <c r="M8" s="14">
        <v>0</v>
      </c>
      <c r="N8" s="16">
        <v>0</v>
      </c>
      <c r="O8" s="14">
        <v>0</v>
      </c>
      <c r="P8" s="16">
        <v>0</v>
      </c>
      <c r="Q8" s="14">
        <v>0</v>
      </c>
      <c r="R8" s="16">
        <v>0</v>
      </c>
    </row>
    <row r="9" spans="1:18" x14ac:dyDescent="0.25">
      <c r="A9" s="11" t="s">
        <v>141</v>
      </c>
      <c r="B9" s="13">
        <v>4752</v>
      </c>
      <c r="C9" s="14">
        <f>(3918/B9*100)</f>
        <v>82.449494949494948</v>
      </c>
      <c r="D9" s="15">
        <v>834</v>
      </c>
      <c r="E9" s="14">
        <v>59.976411480000003</v>
      </c>
      <c r="F9" s="16">
        <v>1.7589363499999999</v>
      </c>
      <c r="G9" s="14">
        <v>40.023588519999997</v>
      </c>
      <c r="H9" s="16">
        <v>1.7589363499999999</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55.201476130000003</v>
      </c>
      <c r="F10" s="16">
        <v>1.5480799000000001</v>
      </c>
      <c r="G10" s="14">
        <v>44.798523869999997</v>
      </c>
      <c r="H10" s="16">
        <v>1.5480799000000001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(2895/B11*100)</f>
        <v>82.714285714285722</v>
      </c>
      <c r="D11" s="15">
        <v>605</v>
      </c>
      <c r="E11" s="14">
        <v>71.964888009999996</v>
      </c>
      <c r="F11" s="16">
        <v>1.98145996</v>
      </c>
      <c r="G11" s="14">
        <v>28.035111990000001</v>
      </c>
      <c r="H11" s="16">
        <v>1.98145996</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(2846/B12*100)</f>
        <v>83.167738164815901</v>
      </c>
      <c r="D12" s="15">
        <v>576</v>
      </c>
      <c r="E12" s="14">
        <v>67.383576000000005</v>
      </c>
      <c r="F12" s="16">
        <v>2.3612061400000002</v>
      </c>
      <c r="G12" s="14">
        <v>32.616424000000002</v>
      </c>
      <c r="H12" s="16">
        <v>2.3612061400000002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59.867395469999998</v>
      </c>
      <c r="F13" s="16">
        <v>2.4068370099999998</v>
      </c>
      <c r="G13" s="14">
        <v>40.132604530000002</v>
      </c>
      <c r="H13" s="16">
        <v>2.4068370099999998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60.27979551</v>
      </c>
      <c r="F14" s="16">
        <v>2.3832097499999998</v>
      </c>
      <c r="G14" s="14">
        <v>39.72020449</v>
      </c>
      <c r="H14" s="16">
        <v>2.3832097499999998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(2382/B15*100)</f>
        <v>83.199441145651406</v>
      </c>
      <c r="D15" s="15">
        <v>481</v>
      </c>
      <c r="E15" s="14">
        <v>53.940055340000001</v>
      </c>
      <c r="F15" s="16">
        <v>2.5453593300000001</v>
      </c>
      <c r="G15" s="14">
        <v>46.059944659999999</v>
      </c>
      <c r="H15" s="16">
        <v>2.5453593300000001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61.983886869999999</v>
      </c>
      <c r="F16" s="16">
        <v>2.03492775</v>
      </c>
      <c r="G16" s="14">
        <v>38.016113130000001</v>
      </c>
      <c r="H16" s="16">
        <v>2.03492775</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(2641/B17*100)</f>
        <v>82.608695652173907</v>
      </c>
      <c r="D17" s="15">
        <v>556</v>
      </c>
      <c r="E17" s="14">
        <v>62.069960479999999</v>
      </c>
      <c r="F17" s="16">
        <v>2.4560339999999998</v>
      </c>
      <c r="G17" s="14">
        <v>37.930039520000001</v>
      </c>
      <c r="H17" s="16">
        <v>2.4560339999999998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(2230/B18*100)</f>
        <v>82.409460458240943</v>
      </c>
      <c r="D18" s="15">
        <v>476</v>
      </c>
      <c r="E18" s="14">
        <v>77.832007500000003</v>
      </c>
      <c r="F18" s="16">
        <v>1.79602079</v>
      </c>
      <c r="G18" s="14">
        <v>22.1679925</v>
      </c>
      <c r="H18" s="16">
        <v>1.79602079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70.156833300000002</v>
      </c>
      <c r="F19" s="16">
        <v>2.23999902</v>
      </c>
      <c r="G19" s="14">
        <v>29.843166700000001</v>
      </c>
      <c r="H19" s="16">
        <v>2.23999902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58.798827500000002</v>
      </c>
      <c r="F20" s="16">
        <v>2.5321112299999999</v>
      </c>
      <c r="G20" s="14">
        <v>41.201172499999998</v>
      </c>
      <c r="H20" s="16">
        <v>2.5321112299999999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(3116/B22*100)</f>
        <v>84.974093264248708</v>
      </c>
      <c r="D22" s="15">
        <v>551</v>
      </c>
      <c r="E22" s="14">
        <v>76.827233480000004</v>
      </c>
      <c r="F22" s="16">
        <v>1.6488695600000001</v>
      </c>
      <c r="G22" s="14">
        <v>23.17276652</v>
      </c>
      <c r="H22" s="16">
        <v>1.6488695600000001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(4792/B23*100)</f>
        <v>82.734806629834253</v>
      </c>
      <c r="D23" s="15">
        <v>1000</v>
      </c>
      <c r="E23" s="14">
        <v>71.876852339999999</v>
      </c>
      <c r="F23" s="16">
        <v>2.46908511</v>
      </c>
      <c r="G23" s="14">
        <v>28.123147660000001</v>
      </c>
      <c r="H23" s="16">
        <v>2.46908511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(2741/B24*100)</f>
        <v>82.834693260803874</v>
      </c>
      <c r="D24" s="15">
        <v>568</v>
      </c>
      <c r="E24" s="14">
        <v>58.36607849</v>
      </c>
      <c r="F24" s="16">
        <v>2.0439420199999998</v>
      </c>
      <c r="G24" s="14">
        <v>41.63392151</v>
      </c>
      <c r="H24" s="16">
        <v>2.0439420199999998</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71.282758830000006</v>
      </c>
      <c r="F25" s="16">
        <v>2.1623016599999998</v>
      </c>
      <c r="G25" s="14">
        <v>28.717241170000001</v>
      </c>
      <c r="H25" s="16">
        <v>2.1623016599999998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67.448204160000003</v>
      </c>
      <c r="F26" s="16">
        <v>2.1409521499999999</v>
      </c>
      <c r="G26" s="14">
        <v>32.551795839999997</v>
      </c>
      <c r="H26" s="16">
        <v>2.1409521499999999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(2220/B27*100)</f>
        <v>82.743197912784197</v>
      </c>
      <c r="D27" s="15">
        <v>463</v>
      </c>
      <c r="E27" s="14">
        <v>65.855742770000006</v>
      </c>
      <c r="F27" s="16">
        <v>2.1422113199999999</v>
      </c>
      <c r="G27" s="14">
        <v>34.144257230000001</v>
      </c>
      <c r="H27" s="16">
        <v>2.1422113199999999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(3191/B28*100)</f>
        <v>83.907441493557727</v>
      </c>
      <c r="D28" s="15">
        <v>612</v>
      </c>
      <c r="E28" s="14">
        <v>83.900393280000003</v>
      </c>
      <c r="F28" s="16">
        <v>1.41023108</v>
      </c>
      <c r="G28" s="14">
        <v>16.099606720000001</v>
      </c>
      <c r="H28" s="16">
        <v>1.41023108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60.921574909999997</v>
      </c>
      <c r="F29" s="16">
        <v>2.3088399900000001</v>
      </c>
      <c r="G29" s="14">
        <v>39.078425090000003</v>
      </c>
      <c r="H29" s="16">
        <v>2.3088399900000001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(1877/B30*100)</f>
        <v>83.163491360212674</v>
      </c>
      <c r="D30" s="15">
        <v>380</v>
      </c>
      <c r="E30" s="14">
        <v>59.331741880000003</v>
      </c>
      <c r="F30" s="16">
        <v>2.3969318799999999</v>
      </c>
      <c r="G30" s="14">
        <v>40.668258119999997</v>
      </c>
      <c r="H30" s="16">
        <v>2.3969318799999999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(2245/B31*100)</f>
        <v>82.963784183296369</v>
      </c>
      <c r="D31" s="15">
        <v>461</v>
      </c>
      <c r="E31" s="14">
        <v>68.030807050000007</v>
      </c>
      <c r="F31" s="16">
        <v>2.3508708</v>
      </c>
      <c r="G31" s="14">
        <v>31.96919295</v>
      </c>
      <c r="H31" s="16">
        <v>2.3508708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(3034/B33*100)</f>
        <v>83.1005204053684</v>
      </c>
      <c r="D33" s="15">
        <v>617</v>
      </c>
      <c r="E33" s="14">
        <v>76.715687849999995</v>
      </c>
      <c r="F33" s="16">
        <v>1.8123897099999999</v>
      </c>
      <c r="G33" s="14">
        <v>23.284312150000002</v>
      </c>
      <c r="H33" s="16">
        <v>1.8123897099999999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(2534/B34*100)</f>
        <v>83.492586490939047</v>
      </c>
      <c r="D34" s="15">
        <v>501</v>
      </c>
      <c r="E34" s="14">
        <v>71.769799669999998</v>
      </c>
      <c r="F34" s="16">
        <v>2.2335794999999998</v>
      </c>
      <c r="G34" s="14">
        <v>28.230200329999999</v>
      </c>
      <c r="H34" s="16">
        <v>2.2335794999999998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(2393/B35*100)</f>
        <v>82.488796966563243</v>
      </c>
      <c r="D35" s="15">
        <v>508</v>
      </c>
      <c r="E35" s="14">
        <v>68.063508839999997</v>
      </c>
      <c r="F35" s="16">
        <v>2.6207230899999998</v>
      </c>
      <c r="G35" s="14">
        <v>31.936491159999999</v>
      </c>
      <c r="H35" s="16">
        <v>2.6207230899999998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(2818/B36*100)</f>
        <v>82.784958871915393</v>
      </c>
      <c r="D36" s="15">
        <v>586</v>
      </c>
      <c r="E36" s="14">
        <v>62.595273030000001</v>
      </c>
      <c r="F36" s="16">
        <v>2.0390739999999998</v>
      </c>
      <c r="G36" s="14">
        <v>37.404726969999999</v>
      </c>
      <c r="H36" s="16">
        <v>2.0390739999999998</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56.69512228</v>
      </c>
      <c r="F37" s="16">
        <v>2.4413116399999999</v>
      </c>
      <c r="G37" s="14">
        <v>43.30487772</v>
      </c>
      <c r="H37" s="16">
        <v>2.4413116399999999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85.062246509999994</v>
      </c>
      <c r="F39" s="16">
        <v>1.7354585600000001</v>
      </c>
      <c r="G39" s="14">
        <v>14.93775349</v>
      </c>
      <c r="H39" s="16">
        <v>1.7354585600000001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61.619262399999997</v>
      </c>
      <c r="F40" s="16">
        <v>2.0221118699999998</v>
      </c>
      <c r="G40" s="14">
        <v>38.380737600000003</v>
      </c>
      <c r="H40" s="16">
        <v>2.0221118699999998</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(2364/B41*100)</f>
        <v>82.831114225648221</v>
      </c>
      <c r="D41" s="15">
        <v>490</v>
      </c>
      <c r="E41" s="14">
        <v>64.1839777</v>
      </c>
      <c r="F41" s="16">
        <v>2.3116617700000002</v>
      </c>
      <c r="G41" s="14">
        <v>35.8160223</v>
      </c>
      <c r="H41" s="16">
        <v>2.3116617700000002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82.9542407849776</v>
      </c>
      <c r="D42" s="15">
        <f>IF(COUNT(D7:D41) &gt; 0, AVERAGE(D7:D41), "—")</f>
        <v>617.34375</v>
      </c>
      <c r="E42" s="14">
        <f>IF(COUNT(E7:E41) &gt; 0, AVERAGE(E7:E41), "—")</f>
        <v>65.944815240312494</v>
      </c>
      <c r="F42" s="16">
        <f>IF(COUNT(F7:F41) &gt; 0, SQRT(SUMSQ(F7:F41)/(COUNT(F7:F41)*COUNT(F7:F41)) ), "—")</f>
        <v>0.38087909679779469</v>
      </c>
      <c r="G42" s="14">
        <f>IF(COUNT(G7:G41) &gt; 0, AVERAGE(G7:G41), "—")</f>
        <v>34.055184759687492</v>
      </c>
      <c r="H42" s="16">
        <f>IF(COUNT(H7:H41) &gt; 0, SQRT(SUMSQ(H7:H41)/(COUNT(H7:H41)*COUNT(H7:H41)) ), "—")</f>
        <v>0.38087909679779469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(10154/B46*100)</f>
        <v>84.10502774786714</v>
      </c>
      <c r="D46" s="15">
        <v>1919</v>
      </c>
      <c r="E46" s="14">
        <v>84.632213190000002</v>
      </c>
      <c r="F46" s="16">
        <v>1.1726499800000001</v>
      </c>
      <c r="G46" s="14">
        <v>15.36778681</v>
      </c>
      <c r="H46" s="16">
        <v>1.1726499800000001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(2354/B47*100)</f>
        <v>83.386468296138858</v>
      </c>
      <c r="D47" s="15">
        <v>469</v>
      </c>
      <c r="E47" s="14">
        <v>78.812130089999997</v>
      </c>
      <c r="F47" s="16">
        <v>2.2298612000000002</v>
      </c>
      <c r="G47" s="14">
        <v>21.18786991</v>
      </c>
      <c r="H47" s="16">
        <v>2.2298612000000002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(3861/B48*100)</f>
        <v>82.464758650149506</v>
      </c>
      <c r="D48" s="15">
        <v>821</v>
      </c>
      <c r="E48" s="14">
        <v>72.666453349999998</v>
      </c>
      <c r="F48" s="16">
        <v>2.2580964899999998</v>
      </c>
      <c r="G48" s="14">
        <v>27.333546649999999</v>
      </c>
      <c r="H48" s="16">
        <v>2.2580964899999998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79.161622589999993</v>
      </c>
      <c r="F50" s="16">
        <v>1.3933789400000001</v>
      </c>
      <c r="G50" s="14">
        <v>20.83837741</v>
      </c>
      <c r="H50" s="16">
        <v>1.3933789400000001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(2974/B51*100)</f>
        <v>85.117344018317127</v>
      </c>
      <c r="D51" s="15">
        <v>520</v>
      </c>
      <c r="E51" s="14">
        <v>81.306731380000002</v>
      </c>
      <c r="F51" s="16">
        <v>1.8820835499999999</v>
      </c>
      <c r="G51" s="14">
        <v>18.693268620000001</v>
      </c>
      <c r="H51" s="16">
        <v>1.8820835499999999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81.913871400000005</v>
      </c>
      <c r="F52" s="16">
        <v>1.8333423600000001</v>
      </c>
      <c r="G52" s="14">
        <v>18.086128599999999</v>
      </c>
      <c r="H52" s="16">
        <v>1.8333423600000001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(2272/B53*100)</f>
        <v>82.318840579710141</v>
      </c>
      <c r="D53" s="15">
        <v>488</v>
      </c>
      <c r="E53" s="14">
        <v>82.348484119999995</v>
      </c>
      <c r="F53" s="16">
        <v>1.84642851</v>
      </c>
      <c r="G53" s="14">
        <v>17.651515880000002</v>
      </c>
      <c r="H53" s="16">
        <v>1.84642851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53.479084970000002</v>
      </c>
      <c r="F56" s="16">
        <v>2.6818658499999999</v>
      </c>
      <c r="G56" s="14">
        <v>46.520915029999998</v>
      </c>
      <c r="H56" s="16">
        <v>2.6818658499999999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77.015059949999994</v>
      </c>
      <c r="F61" s="16">
        <v>1.92844134</v>
      </c>
      <c r="G61" s="14">
        <v>22.984940049999999</v>
      </c>
      <c r="H61" s="16">
        <v>1.92844134</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(1837/B62*100)</f>
        <v>82.376681614349778</v>
      </c>
      <c r="D62" s="15">
        <v>393</v>
      </c>
      <c r="E62" s="14">
        <v>60.348100959999996</v>
      </c>
      <c r="F62" s="16">
        <v>2.28834815</v>
      </c>
      <c r="G62" s="14">
        <v>39.651899040000004</v>
      </c>
      <c r="H62" s="16">
        <v>2.28834815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(2298/B66*100)</f>
        <v>82.930350054132091</v>
      </c>
      <c r="D66" s="15">
        <v>473</v>
      </c>
      <c r="E66" s="14">
        <v>88.074886320000005</v>
      </c>
      <c r="F66" s="16">
        <v>1.39851342</v>
      </c>
      <c r="G66" s="14">
        <v>11.925113680000001</v>
      </c>
      <c r="H66" s="16">
        <v>1.39851342</v>
      </c>
      <c r="I66" s="14" t="s">
        <v>139</v>
      </c>
      <c r="J66" s="16" t="s">
        <v>139</v>
      </c>
      <c r="K66" s="14">
        <v>0</v>
      </c>
      <c r="L66" s="16">
        <v>0</v>
      </c>
      <c r="M66" s="14">
        <v>0</v>
      </c>
      <c r="N66" s="16">
        <v>0</v>
      </c>
      <c r="O66" s="14">
        <v>0</v>
      </c>
      <c r="P66" s="16">
        <v>0</v>
      </c>
      <c r="Q66" s="14">
        <v>0</v>
      </c>
      <c r="R66" s="16">
        <v>0</v>
      </c>
    </row>
    <row r="67" spans="1:18" x14ac:dyDescent="0.25">
      <c r="A67" s="11" t="s">
        <v>200</v>
      </c>
      <c r="B67" s="13">
        <v>3460</v>
      </c>
      <c r="C67" s="14">
        <f>(2873/B67*100)</f>
        <v>83.034682080924853</v>
      </c>
      <c r="D67" s="15">
        <v>587</v>
      </c>
      <c r="E67" s="14">
        <v>83.233221169999993</v>
      </c>
      <c r="F67" s="16">
        <v>1.7516069000000001</v>
      </c>
      <c r="G67" s="14">
        <v>16.76677883</v>
      </c>
      <c r="H67" s="16">
        <v>1.7516069000000001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(2572/B70*100)</f>
        <v>82.780817508850973</v>
      </c>
      <c r="D70" s="15">
        <v>535</v>
      </c>
      <c r="E70" s="14">
        <v>77.472332080000001</v>
      </c>
      <c r="F70" s="16">
        <v>2.3924497200000001</v>
      </c>
      <c r="G70" s="14">
        <v>22.527667919999999</v>
      </c>
      <c r="H70" s="16">
        <v>2.3924497200000001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63.935459100000003</v>
      </c>
      <c r="F72" s="16">
        <v>2.01979058</v>
      </c>
      <c r="G72" s="14">
        <v>36.064540899999997</v>
      </c>
      <c r="H72" s="16">
        <v>2.01979058</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(3882/B73*100)</f>
        <v>83.447979363714524</v>
      </c>
      <c r="D73" s="15">
        <v>770</v>
      </c>
      <c r="E73" s="14">
        <v>87.912940379999995</v>
      </c>
      <c r="F73" s="16">
        <v>1.4936925299999999</v>
      </c>
      <c r="G73" s="14">
        <v>12.08705962</v>
      </c>
      <c r="H73" s="16">
        <v>1.4936925299999999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(2468/B75*100)</f>
        <v>83.125631525766252</v>
      </c>
      <c r="D75" s="15">
        <v>501</v>
      </c>
      <c r="E75" s="14">
        <v>87.889062159999995</v>
      </c>
      <c r="F75" s="16">
        <v>1.55051849</v>
      </c>
      <c r="G75" s="14">
        <v>12.11093784</v>
      </c>
      <c r="H75" s="16">
        <v>1.55051849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82.714107150000004</v>
      </c>
      <c r="F76" s="16">
        <v>1.23072501</v>
      </c>
      <c r="G76" s="14">
        <v>17.28589285</v>
      </c>
      <c r="H76" s="16">
        <v>1.23072501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(2605/B77*100)</f>
        <v>82.593532022828157</v>
      </c>
      <c r="D77" s="15">
        <v>549</v>
      </c>
      <c r="E77" s="14">
        <v>73.373938109999997</v>
      </c>
      <c r="F77" s="16">
        <v>1.9473800800000001</v>
      </c>
      <c r="G77" s="14">
        <v>26.626061889999999</v>
      </c>
      <c r="H77" s="16">
        <v>1.9473800800000001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86.545140799999999</v>
      </c>
      <c r="F81" s="16">
        <v>1.52333596</v>
      </c>
      <c r="G81" s="14">
        <v>13.4548592</v>
      </c>
      <c r="H81" s="16">
        <v>1.52333596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(5953/B7*100)</f>
        <v>83.107636465168227</v>
      </c>
      <c r="D7" s="15">
        <v>1210</v>
      </c>
      <c r="E7" s="14">
        <v>13.491012570000001</v>
      </c>
      <c r="F7" s="16">
        <v>1.2869969400000001</v>
      </c>
      <c r="G7" s="14">
        <v>86.508987430000005</v>
      </c>
      <c r="H7" s="16">
        <v>1.2869969400000001</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18.637515279999999</v>
      </c>
      <c r="F8" s="16">
        <v>1.8448567600000001</v>
      </c>
      <c r="G8" s="14">
        <v>81.362484719999998</v>
      </c>
      <c r="H8" s="16">
        <v>1.8448567600000001</v>
      </c>
      <c r="I8" s="14" t="s">
        <v>139</v>
      </c>
      <c r="J8" s="16" t="s">
        <v>139</v>
      </c>
      <c r="K8" s="14">
        <v>0</v>
      </c>
      <c r="L8" s="16">
        <v>0</v>
      </c>
      <c r="M8" s="14">
        <v>0</v>
      </c>
      <c r="N8" s="16">
        <v>0</v>
      </c>
      <c r="O8" s="14">
        <v>0</v>
      </c>
      <c r="P8" s="16">
        <v>0</v>
      </c>
      <c r="Q8" s="14">
        <v>0</v>
      </c>
      <c r="R8" s="16">
        <v>0</v>
      </c>
    </row>
    <row r="9" spans="1:18" x14ac:dyDescent="0.25">
      <c r="A9" s="11" t="s">
        <v>141</v>
      </c>
      <c r="B9" s="13">
        <v>4752</v>
      </c>
      <c r="C9" s="14">
        <f>(3918/B9*100)</f>
        <v>82.449494949494948</v>
      </c>
      <c r="D9" s="15">
        <v>834</v>
      </c>
      <c r="E9" s="14">
        <v>19.52201599</v>
      </c>
      <c r="F9" s="16">
        <v>1.3880016399999999</v>
      </c>
      <c r="G9" s="14">
        <v>80.47798401</v>
      </c>
      <c r="H9" s="16">
        <v>1.3880016399999999</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14.38015038</v>
      </c>
      <c r="F10" s="16">
        <v>1.1607337499999999</v>
      </c>
      <c r="G10" s="14">
        <v>85.619849619999997</v>
      </c>
      <c r="H10" s="16">
        <v>1.1607337499999999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(2895/B11*100)</f>
        <v>82.714285714285722</v>
      </c>
      <c r="D11" s="15">
        <v>605</v>
      </c>
      <c r="E11" s="14">
        <v>25.320377659999998</v>
      </c>
      <c r="F11" s="16">
        <v>2.1393456500000001</v>
      </c>
      <c r="G11" s="14">
        <v>74.679622339999995</v>
      </c>
      <c r="H11" s="16">
        <v>2.1393456500000001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(2846/B12*100)</f>
        <v>83.167738164815901</v>
      </c>
      <c r="D12" s="15">
        <v>576</v>
      </c>
      <c r="E12" s="14">
        <v>16.039887109999999</v>
      </c>
      <c r="F12" s="16">
        <v>1.5806142999999999</v>
      </c>
      <c r="G12" s="14">
        <v>83.960112890000005</v>
      </c>
      <c r="H12" s="16">
        <v>1.5806142999999999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14.76364948</v>
      </c>
      <c r="F13" s="16">
        <v>1.8217022199999999</v>
      </c>
      <c r="G13" s="14">
        <v>85.236350520000002</v>
      </c>
      <c r="H13" s="16">
        <v>1.8217022199999999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15.196320780000001</v>
      </c>
      <c r="F14" s="16">
        <v>1.6166700899999999</v>
      </c>
      <c r="G14" s="14">
        <v>84.803679220000006</v>
      </c>
      <c r="H14" s="16">
        <v>1.6166700899999999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(2382/B15*100)</f>
        <v>83.199441145651406</v>
      </c>
      <c r="D15" s="15">
        <v>481</v>
      </c>
      <c r="E15" s="14">
        <v>10.190964920000001</v>
      </c>
      <c r="F15" s="16">
        <v>1.32384674</v>
      </c>
      <c r="G15" s="14">
        <v>89.809035080000001</v>
      </c>
      <c r="H15" s="16">
        <v>1.32384674</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17.655946140000001</v>
      </c>
      <c r="F16" s="16">
        <v>1.6345008299999999</v>
      </c>
      <c r="G16" s="14">
        <v>82.344053860000002</v>
      </c>
      <c r="H16" s="16">
        <v>1.6345008299999999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(2641/B17*100)</f>
        <v>82.608695652173907</v>
      </c>
      <c r="D17" s="15">
        <v>556</v>
      </c>
      <c r="E17" s="14">
        <v>14.78643636</v>
      </c>
      <c r="F17" s="16">
        <v>1.53477288</v>
      </c>
      <c r="G17" s="14">
        <v>85.213563640000004</v>
      </c>
      <c r="H17" s="16">
        <v>1.53477288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(2230/B18*100)</f>
        <v>82.409460458240943</v>
      </c>
      <c r="D18" s="15">
        <v>476</v>
      </c>
      <c r="E18" s="14">
        <v>30.692082970000001</v>
      </c>
      <c r="F18" s="16">
        <v>2.0553332700000002</v>
      </c>
      <c r="G18" s="14">
        <v>69.307917029999999</v>
      </c>
      <c r="H18" s="16">
        <v>2.0553332700000002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15.37325826</v>
      </c>
      <c r="F19" s="16">
        <v>1.7999749</v>
      </c>
      <c r="G19" s="14">
        <v>84.62674174</v>
      </c>
      <c r="H19" s="16">
        <v>1.7999749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20.488293380000002</v>
      </c>
      <c r="F20" s="16">
        <v>2.1436468400000002</v>
      </c>
      <c r="G20" s="14">
        <v>79.511706619999998</v>
      </c>
      <c r="H20" s="16">
        <v>2.1436468400000002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(3116/B22*100)</f>
        <v>84.974093264248708</v>
      </c>
      <c r="D22" s="15">
        <v>551</v>
      </c>
      <c r="E22" s="14">
        <v>33.889792149999998</v>
      </c>
      <c r="F22" s="16">
        <v>2.2138219700000001</v>
      </c>
      <c r="G22" s="14">
        <v>66.110207849999995</v>
      </c>
      <c r="H22" s="16">
        <v>2.2138219700000001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(4792/B23*100)</f>
        <v>82.734806629834253</v>
      </c>
      <c r="D23" s="15">
        <v>1000</v>
      </c>
      <c r="E23" s="14">
        <v>15.29081457</v>
      </c>
      <c r="F23" s="16">
        <v>1.7178815000000001</v>
      </c>
      <c r="G23" s="14">
        <v>84.709185430000005</v>
      </c>
      <c r="H23" s="16">
        <v>1.7178815000000001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(2741/B24*100)</f>
        <v>82.834693260803874</v>
      </c>
      <c r="D24" s="15">
        <v>568</v>
      </c>
      <c r="E24" s="14">
        <v>14.49365504</v>
      </c>
      <c r="F24" s="16">
        <v>1.51948354</v>
      </c>
      <c r="G24" s="14">
        <v>85.506344960000007</v>
      </c>
      <c r="H24" s="16">
        <v>1.51948354</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17.029941910000002</v>
      </c>
      <c r="F25" s="16">
        <v>1.7588751199999999</v>
      </c>
      <c r="G25" s="14">
        <v>82.970058089999995</v>
      </c>
      <c r="H25" s="16">
        <v>1.7588751199999999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17.6431763</v>
      </c>
      <c r="F26" s="16">
        <v>2.1599284500000002</v>
      </c>
      <c r="G26" s="14">
        <v>82.356823700000007</v>
      </c>
      <c r="H26" s="16">
        <v>2.1599284500000002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(2220/B27*100)</f>
        <v>82.743197912784197</v>
      </c>
      <c r="D27" s="15">
        <v>463</v>
      </c>
      <c r="E27" s="14">
        <v>19.21776324</v>
      </c>
      <c r="F27" s="16">
        <v>2.00426058</v>
      </c>
      <c r="G27" s="14">
        <v>80.782236760000004</v>
      </c>
      <c r="H27" s="16">
        <v>2.00426058</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(3191/B28*100)</f>
        <v>83.907441493557727</v>
      </c>
      <c r="D28" s="15">
        <v>612</v>
      </c>
      <c r="E28" s="14">
        <v>29.341181150000001</v>
      </c>
      <c r="F28" s="16">
        <v>2.1737740099999998</v>
      </c>
      <c r="G28" s="14">
        <v>70.658818850000003</v>
      </c>
      <c r="H28" s="16">
        <v>2.1737740099999998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15.282474929999999</v>
      </c>
      <c r="F29" s="16">
        <v>1.80275908</v>
      </c>
      <c r="G29" s="14">
        <v>84.717525069999994</v>
      </c>
      <c r="H29" s="16">
        <v>1.80275908</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(1877/B30*100)</f>
        <v>83.163491360212674</v>
      </c>
      <c r="D30" s="15">
        <v>380</v>
      </c>
      <c r="E30" s="14">
        <v>16.27182547</v>
      </c>
      <c r="F30" s="16">
        <v>2.1979764500000001</v>
      </c>
      <c r="G30" s="14">
        <v>83.728174530000004</v>
      </c>
      <c r="H30" s="16">
        <v>2.1979764500000001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(2245/B31*100)</f>
        <v>82.963784183296369</v>
      </c>
      <c r="D31" s="15">
        <v>461</v>
      </c>
      <c r="E31" s="14">
        <v>18.102307669999998</v>
      </c>
      <c r="F31" s="16">
        <v>2.0635029199999999</v>
      </c>
      <c r="G31" s="14">
        <v>81.897692329999998</v>
      </c>
      <c r="H31" s="16">
        <v>2.0635029199999999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(3034/B33*100)</f>
        <v>83.1005204053684</v>
      </c>
      <c r="D33" s="15">
        <v>617</v>
      </c>
      <c r="E33" s="14">
        <v>19.023227899999998</v>
      </c>
      <c r="F33" s="16">
        <v>2.0119433999999998</v>
      </c>
      <c r="G33" s="14">
        <v>80.976772100000005</v>
      </c>
      <c r="H33" s="16">
        <v>2.0119433999999998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(2534/B34*100)</f>
        <v>83.492586490939047</v>
      </c>
      <c r="D34" s="15">
        <v>501</v>
      </c>
      <c r="E34" s="14">
        <v>23.230011709999999</v>
      </c>
      <c r="F34" s="16">
        <v>1.92502693</v>
      </c>
      <c r="G34" s="14">
        <v>76.769988290000001</v>
      </c>
      <c r="H34" s="16">
        <v>1.92502693</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(2393/B35*100)</f>
        <v>82.488796966563243</v>
      </c>
      <c r="D35" s="15">
        <v>508</v>
      </c>
      <c r="E35" s="14">
        <v>23.607489910000002</v>
      </c>
      <c r="F35" s="16">
        <v>2.3288749599999998</v>
      </c>
      <c r="G35" s="14">
        <v>76.392510090000002</v>
      </c>
      <c r="H35" s="16">
        <v>2.3288749599999998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(2818/B36*100)</f>
        <v>82.784958871915393</v>
      </c>
      <c r="D36" s="15">
        <v>586</v>
      </c>
      <c r="E36" s="14">
        <v>19.61337743</v>
      </c>
      <c r="F36" s="16">
        <v>1.9368770399999999</v>
      </c>
      <c r="G36" s="14">
        <v>80.38662257</v>
      </c>
      <c r="H36" s="16">
        <v>1.9368770399999999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13.25518988</v>
      </c>
      <c r="F37" s="16">
        <v>1.7917277599999999</v>
      </c>
      <c r="G37" s="14">
        <v>86.744810119999997</v>
      </c>
      <c r="H37" s="16">
        <v>1.7917277599999999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24.97311535</v>
      </c>
      <c r="F39" s="16">
        <v>2.5961467100000002</v>
      </c>
      <c r="G39" s="14">
        <v>75.02688465</v>
      </c>
      <c r="H39" s="16">
        <v>2.5961467100000002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14.168665819999999</v>
      </c>
      <c r="F40" s="16">
        <v>1.7302290600000001</v>
      </c>
      <c r="G40" s="14">
        <v>85.831334179999999</v>
      </c>
      <c r="H40" s="16">
        <v>1.7302290600000001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(2364/B41*100)</f>
        <v>82.831114225648221</v>
      </c>
      <c r="D41" s="15">
        <v>490</v>
      </c>
      <c r="E41" s="14">
        <v>13.75248083</v>
      </c>
      <c r="F41" s="16">
        <v>1.6893562900000001</v>
      </c>
      <c r="G41" s="14">
        <v>86.247519170000004</v>
      </c>
      <c r="H41" s="16">
        <v>1.6893562900000001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82.9542407849776</v>
      </c>
      <c r="D42" s="15">
        <f>IF(COUNT(D7:D41) &gt; 0, AVERAGE(D7:D41), "—")</f>
        <v>617.34375</v>
      </c>
      <c r="E42" s="14">
        <f>IF(COUNT(E7:E41) &gt; 0, AVERAGE(E7:E41), "—")</f>
        <v>18.585137579374997</v>
      </c>
      <c r="F42" s="16">
        <f>IF(COUNT(F7:F41) &gt; 0, SQRT(SUMSQ(F7:F41)/(COUNT(F7:F41)*COUNT(F7:F41)) ), "—")</f>
        <v>0.33058349022266814</v>
      </c>
      <c r="G42" s="14">
        <f>IF(COUNT(G7:G41) &gt; 0, AVERAGE(G7:G41), "—")</f>
        <v>81.414862420624985</v>
      </c>
      <c r="H42" s="16">
        <f>IF(COUNT(H7:H41) &gt; 0, SQRT(SUMSQ(H7:H41)/(COUNT(H7:H41)*COUNT(H7:H41)) ), "—")</f>
        <v>0.33058349022266814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(10154/B46*100)</f>
        <v>84.10502774786714</v>
      </c>
      <c r="D46" s="15">
        <v>1919</v>
      </c>
      <c r="E46" s="14">
        <v>30.468511029999998</v>
      </c>
      <c r="F46" s="16">
        <v>1.3740556900000001</v>
      </c>
      <c r="G46" s="14">
        <v>69.531488969999998</v>
      </c>
      <c r="H46" s="16">
        <v>1.3740556900000001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(2354/B47*100)</f>
        <v>83.386468296138858</v>
      </c>
      <c r="D47" s="15">
        <v>469</v>
      </c>
      <c r="E47" s="14">
        <v>22.878456190000001</v>
      </c>
      <c r="F47" s="16">
        <v>2.0526252299999999</v>
      </c>
      <c r="G47" s="14">
        <v>77.121543810000006</v>
      </c>
      <c r="H47" s="16">
        <v>2.0526252299999999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(3861/B48*100)</f>
        <v>82.464758650149506</v>
      </c>
      <c r="D48" s="15">
        <v>821</v>
      </c>
      <c r="E48" s="14">
        <v>23.140436520000002</v>
      </c>
      <c r="F48" s="16">
        <v>2.18782291</v>
      </c>
      <c r="G48" s="14">
        <v>76.859563480000006</v>
      </c>
      <c r="H48" s="16">
        <v>2.18782291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28.595170450000001</v>
      </c>
      <c r="F50" s="16">
        <v>2.1067903100000001</v>
      </c>
      <c r="G50" s="14">
        <v>71.404829550000002</v>
      </c>
      <c r="H50" s="16">
        <v>2.1067903100000001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(2974/B51*100)</f>
        <v>85.117344018317127</v>
      </c>
      <c r="D51" s="15">
        <v>520</v>
      </c>
      <c r="E51" s="14">
        <v>20.977510970000001</v>
      </c>
      <c r="F51" s="16">
        <v>2.0610511300000001</v>
      </c>
      <c r="G51" s="14">
        <v>79.022489030000003</v>
      </c>
      <c r="H51" s="16">
        <v>2.0610511300000001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20.355879640000001</v>
      </c>
      <c r="F52" s="16">
        <v>1.64686255</v>
      </c>
      <c r="G52" s="14">
        <v>79.644120360000002</v>
      </c>
      <c r="H52" s="16">
        <v>1.64686255</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(2272/B53*100)</f>
        <v>82.318840579710141</v>
      </c>
      <c r="D53" s="15">
        <v>488</v>
      </c>
      <c r="E53" s="14">
        <v>28.865478570000001</v>
      </c>
      <c r="F53" s="16">
        <v>2.1730294300000002</v>
      </c>
      <c r="G53" s="14">
        <v>71.134521430000007</v>
      </c>
      <c r="H53" s="16">
        <v>2.1730294300000002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24.84604435</v>
      </c>
      <c r="F56" s="16">
        <v>2.4661317899999999</v>
      </c>
      <c r="G56" s="14">
        <v>75.15395565</v>
      </c>
      <c r="H56" s="16">
        <v>2.4661317899999999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16.70432735</v>
      </c>
      <c r="F61" s="16">
        <v>1.7101728599999999</v>
      </c>
      <c r="G61" s="14">
        <v>83.29567265</v>
      </c>
      <c r="H61" s="16">
        <v>1.7101728599999999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(1837/B62*100)</f>
        <v>82.376681614349778</v>
      </c>
      <c r="D62" s="15">
        <v>393</v>
      </c>
      <c r="E62" s="14">
        <v>21.09481293</v>
      </c>
      <c r="F62" s="16">
        <v>2.1512757900000001</v>
      </c>
      <c r="G62" s="14">
        <v>78.905187069999997</v>
      </c>
      <c r="H62" s="16">
        <v>2.1512757900000001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(2298/B66*100)</f>
        <v>82.930350054132091</v>
      </c>
      <c r="D66" s="15">
        <v>473</v>
      </c>
      <c r="E66" s="14">
        <v>27.778798420000001</v>
      </c>
      <c r="F66" s="16">
        <v>2.3256988299999999</v>
      </c>
      <c r="G66" s="14">
        <v>72.221201579999999</v>
      </c>
      <c r="H66" s="16">
        <v>2.3256988299999999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(2873/B67*100)</f>
        <v>83.034682080924853</v>
      </c>
      <c r="D67" s="15">
        <v>587</v>
      </c>
      <c r="E67" s="14">
        <v>32.73901807</v>
      </c>
      <c r="F67" s="16">
        <v>1.8234004100000001</v>
      </c>
      <c r="G67" s="14">
        <v>67.26098193</v>
      </c>
      <c r="H67" s="16">
        <v>1.8234004100000001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(2572/B70*100)</f>
        <v>82.780817508850973</v>
      </c>
      <c r="D70" s="15">
        <v>535</v>
      </c>
      <c r="E70" s="14">
        <v>21.234939690000001</v>
      </c>
      <c r="F70" s="16">
        <v>1.9444807399999999</v>
      </c>
      <c r="G70" s="14">
        <v>78.765060309999996</v>
      </c>
      <c r="H70" s="16">
        <v>1.9444807399999999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15.745900300000001</v>
      </c>
      <c r="F72" s="16">
        <v>1.4358926700000001</v>
      </c>
      <c r="G72" s="14">
        <v>84.254099699999998</v>
      </c>
      <c r="H72" s="16">
        <v>1.4358926700000001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(3882/B73*100)</f>
        <v>83.447979363714524</v>
      </c>
      <c r="D73" s="15">
        <v>770</v>
      </c>
      <c r="E73" s="14">
        <v>27.74595171</v>
      </c>
      <c r="F73" s="16">
        <v>2.0214160400000001</v>
      </c>
      <c r="G73" s="14">
        <v>72.25404829</v>
      </c>
      <c r="H73" s="16">
        <v>2.0214160400000001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(2468/B75*100)</f>
        <v>83.125631525766252</v>
      </c>
      <c r="D75" s="15">
        <v>501</v>
      </c>
      <c r="E75" s="14">
        <v>42.402095940000002</v>
      </c>
      <c r="F75" s="16">
        <v>2.3095161499999999</v>
      </c>
      <c r="G75" s="14">
        <v>57.597904059999998</v>
      </c>
      <c r="H75" s="16">
        <v>2.3095161499999999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26.770499820000001</v>
      </c>
      <c r="F76" s="16">
        <v>1.6202281199999999</v>
      </c>
      <c r="G76" s="14">
        <v>73.229500180000002</v>
      </c>
      <c r="H76" s="16">
        <v>1.6202281199999999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(2605/B77*100)</f>
        <v>82.593532022828157</v>
      </c>
      <c r="D77" s="15">
        <v>549</v>
      </c>
      <c r="E77" s="14">
        <v>28.839656890000001</v>
      </c>
      <c r="F77" s="16">
        <v>2.0144259299999998</v>
      </c>
      <c r="G77" s="14">
        <v>71.160343109999999</v>
      </c>
      <c r="H77" s="16">
        <v>2.0144259299999998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29.695666889999998</v>
      </c>
      <c r="F81" s="16">
        <v>2.0167828999999999</v>
      </c>
      <c r="G81" s="14">
        <v>70.304333110000002</v>
      </c>
      <c r="H81" s="16">
        <v>2.0167828999999999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(5953/B7*100)</f>
        <v>83.107636465168227</v>
      </c>
      <c r="D7" s="15">
        <v>1210</v>
      </c>
      <c r="E7" s="14">
        <v>24.836996070000001</v>
      </c>
      <c r="F7" s="16">
        <v>1.6000380000000001</v>
      </c>
      <c r="G7" s="14">
        <v>75.163003930000002</v>
      </c>
      <c r="H7" s="16">
        <v>1.6000380000000001</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25.369513900000001</v>
      </c>
      <c r="F8" s="16">
        <v>1.83691881</v>
      </c>
      <c r="G8" s="14">
        <v>74.630486099999999</v>
      </c>
      <c r="H8" s="16">
        <v>1.83691881</v>
      </c>
      <c r="I8" s="14" t="s">
        <v>139</v>
      </c>
      <c r="J8" s="16" t="s">
        <v>139</v>
      </c>
      <c r="K8" s="14">
        <v>0</v>
      </c>
      <c r="L8" s="16">
        <v>0</v>
      </c>
      <c r="M8" s="14">
        <v>0</v>
      </c>
      <c r="N8" s="16">
        <v>0</v>
      </c>
      <c r="O8" s="14">
        <v>0</v>
      </c>
      <c r="P8" s="16">
        <v>0</v>
      </c>
      <c r="Q8" s="14">
        <v>0</v>
      </c>
      <c r="R8" s="16">
        <v>0</v>
      </c>
    </row>
    <row r="9" spans="1:18" x14ac:dyDescent="0.25">
      <c r="A9" s="11" t="s">
        <v>141</v>
      </c>
      <c r="B9" s="13">
        <v>4752</v>
      </c>
      <c r="C9" s="14">
        <f>(3918/B9*100)</f>
        <v>82.449494949494948</v>
      </c>
      <c r="D9" s="15">
        <v>834</v>
      </c>
      <c r="E9" s="14">
        <v>32.776950100000001</v>
      </c>
      <c r="F9" s="16">
        <v>1.8951046499999999</v>
      </c>
      <c r="G9" s="14">
        <v>67.223049900000007</v>
      </c>
      <c r="H9" s="16">
        <v>1.8951046499999999</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23.502463909999999</v>
      </c>
      <c r="F10" s="16">
        <v>1.45546219</v>
      </c>
      <c r="G10" s="14">
        <v>76.497536089999997</v>
      </c>
      <c r="H10" s="16">
        <v>1.45546219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(2895/B11*100)</f>
        <v>82.714285714285722</v>
      </c>
      <c r="D11" s="15">
        <v>605</v>
      </c>
      <c r="E11" s="14">
        <v>46.725875430000002</v>
      </c>
      <c r="F11" s="16">
        <v>2.4015212300000002</v>
      </c>
      <c r="G11" s="14">
        <v>53.274124569999998</v>
      </c>
      <c r="H11" s="16">
        <v>2.4015212300000002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(2846/B12*100)</f>
        <v>83.167738164815901</v>
      </c>
      <c r="D12" s="15">
        <v>576</v>
      </c>
      <c r="E12" s="14">
        <v>27.936812629999999</v>
      </c>
      <c r="F12" s="16">
        <v>1.7780722</v>
      </c>
      <c r="G12" s="14">
        <v>72.063187369999994</v>
      </c>
      <c r="H12" s="16">
        <v>1.7780722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23.935656590000001</v>
      </c>
      <c r="F13" s="16">
        <v>2.1270357999999998</v>
      </c>
      <c r="G13" s="14">
        <v>76.064343410000006</v>
      </c>
      <c r="H13" s="16">
        <v>2.1270357999999998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22.465565000000002</v>
      </c>
      <c r="F14" s="16">
        <v>2.25620683</v>
      </c>
      <c r="G14" s="14">
        <v>77.534435000000002</v>
      </c>
      <c r="H14" s="16">
        <v>2.25620683</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(2382/B15*100)</f>
        <v>83.199441145651406</v>
      </c>
      <c r="D15" s="15">
        <v>481</v>
      </c>
      <c r="E15" s="14">
        <v>20.090827220000001</v>
      </c>
      <c r="F15" s="16">
        <v>1.6384589199999999</v>
      </c>
      <c r="G15" s="14">
        <v>79.909172780000006</v>
      </c>
      <c r="H15" s="16">
        <v>1.6384589199999999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35.047606510000001</v>
      </c>
      <c r="F16" s="16">
        <v>2.0796517099999998</v>
      </c>
      <c r="G16" s="14">
        <v>64.952393490000006</v>
      </c>
      <c r="H16" s="16">
        <v>2.0796517099999998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(2641/B17*100)</f>
        <v>82.608695652173907</v>
      </c>
      <c r="D17" s="15">
        <v>556</v>
      </c>
      <c r="E17" s="14">
        <v>23.605575900000002</v>
      </c>
      <c r="F17" s="16">
        <v>1.8564127399999999</v>
      </c>
      <c r="G17" s="14">
        <v>76.394424099999995</v>
      </c>
      <c r="H17" s="16">
        <v>1.8564127399999999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(2230/B18*100)</f>
        <v>82.409460458240943</v>
      </c>
      <c r="D18" s="15">
        <v>476</v>
      </c>
      <c r="E18" s="14">
        <v>57.380915690000002</v>
      </c>
      <c r="F18" s="16">
        <v>2.2491758100000001</v>
      </c>
      <c r="G18" s="14">
        <v>42.619084309999998</v>
      </c>
      <c r="H18" s="16">
        <v>2.2491758100000001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46.393495680000001</v>
      </c>
      <c r="F19" s="16">
        <v>2.3925720400000001</v>
      </c>
      <c r="G19" s="14">
        <v>53.606504319999999</v>
      </c>
      <c r="H19" s="16">
        <v>2.3925720400000001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37.308778889999999</v>
      </c>
      <c r="F20" s="16">
        <v>2.9078672999999999</v>
      </c>
      <c r="G20" s="14">
        <v>62.691221110000001</v>
      </c>
      <c r="H20" s="16">
        <v>2.9078672999999999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(3116/B22*100)</f>
        <v>84.974093264248708</v>
      </c>
      <c r="D22" s="15">
        <v>551</v>
      </c>
      <c r="E22" s="14">
        <v>53.744853990000003</v>
      </c>
      <c r="F22" s="16">
        <v>2.4419783900000001</v>
      </c>
      <c r="G22" s="14">
        <v>46.255146009999997</v>
      </c>
      <c r="H22" s="16">
        <v>2.4419783900000001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(4792/B23*100)</f>
        <v>82.734806629834253</v>
      </c>
      <c r="D23" s="15">
        <v>1000</v>
      </c>
      <c r="E23" s="14">
        <v>37.734976009999997</v>
      </c>
      <c r="F23" s="16">
        <v>2.2202579099999999</v>
      </c>
      <c r="G23" s="14">
        <v>62.265023990000003</v>
      </c>
      <c r="H23" s="16">
        <v>2.2202579099999999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(2741/B24*100)</f>
        <v>82.834693260803874</v>
      </c>
      <c r="D24" s="15">
        <v>568</v>
      </c>
      <c r="E24" s="14">
        <v>11.420955060000001</v>
      </c>
      <c r="F24" s="16">
        <v>1.5437386399999999</v>
      </c>
      <c r="G24" s="14">
        <v>88.579044940000003</v>
      </c>
      <c r="H24" s="16">
        <v>1.5437386399999999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17.680480580000001</v>
      </c>
      <c r="F25" s="16">
        <v>1.82228751</v>
      </c>
      <c r="G25" s="14">
        <v>82.319519420000006</v>
      </c>
      <c r="H25" s="16">
        <v>1.82228751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26.762570960000001</v>
      </c>
      <c r="F26" s="16">
        <v>2.2745325799999998</v>
      </c>
      <c r="G26" s="14">
        <v>73.237429039999995</v>
      </c>
      <c r="H26" s="16">
        <v>2.2745325799999998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(2220/B27*100)</f>
        <v>82.743197912784197</v>
      </c>
      <c r="D27" s="15">
        <v>463</v>
      </c>
      <c r="E27" s="14">
        <v>27.983778579999999</v>
      </c>
      <c r="F27" s="16">
        <v>2.129022</v>
      </c>
      <c r="G27" s="14">
        <v>72.016221419999994</v>
      </c>
      <c r="H27" s="16">
        <v>2.129022</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(3191/B28*100)</f>
        <v>83.907441493557727</v>
      </c>
      <c r="D28" s="15">
        <v>612</v>
      </c>
      <c r="E28" s="14">
        <v>60.192880879999997</v>
      </c>
      <c r="F28" s="16">
        <v>2.35419147</v>
      </c>
      <c r="G28" s="14">
        <v>39.807119120000003</v>
      </c>
      <c r="H28" s="16">
        <v>2.35419147</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26.285159060000002</v>
      </c>
      <c r="F29" s="16">
        <v>2.2665233900000001</v>
      </c>
      <c r="G29" s="14">
        <v>73.714840940000002</v>
      </c>
      <c r="H29" s="16">
        <v>2.2665233900000001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(1877/B30*100)</f>
        <v>83.163491360212674</v>
      </c>
      <c r="D30" s="15">
        <v>380</v>
      </c>
      <c r="E30" s="14">
        <v>19.676245680000001</v>
      </c>
      <c r="F30" s="16">
        <v>1.9710173099999999</v>
      </c>
      <c r="G30" s="14">
        <v>80.323754320000006</v>
      </c>
      <c r="H30" s="16">
        <v>1.9710173099999999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(2245/B31*100)</f>
        <v>82.963784183296369</v>
      </c>
      <c r="D31" s="15">
        <v>461</v>
      </c>
      <c r="E31" s="14">
        <v>24.572912500000001</v>
      </c>
      <c r="F31" s="16">
        <v>2.1591222700000001</v>
      </c>
      <c r="G31" s="14">
        <v>75.427087499999999</v>
      </c>
      <c r="H31" s="16">
        <v>2.1591222700000001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(3034/B33*100)</f>
        <v>83.1005204053684</v>
      </c>
      <c r="D33" s="15">
        <v>617</v>
      </c>
      <c r="E33" s="14">
        <v>39.834086139999997</v>
      </c>
      <c r="F33" s="16">
        <v>2.5188194699999999</v>
      </c>
      <c r="G33" s="14">
        <v>60.165913860000003</v>
      </c>
      <c r="H33" s="16">
        <v>2.5188194699999999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(2534/B34*100)</f>
        <v>83.492586490939047</v>
      </c>
      <c r="D34" s="15">
        <v>501</v>
      </c>
      <c r="E34" s="14">
        <v>33.04079471</v>
      </c>
      <c r="F34" s="16">
        <v>2.3341257199999998</v>
      </c>
      <c r="G34" s="14">
        <v>66.95920529</v>
      </c>
      <c r="H34" s="16">
        <v>2.3341257199999998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(2393/B35*100)</f>
        <v>82.488796966563243</v>
      </c>
      <c r="D35" s="15">
        <v>508</v>
      </c>
      <c r="E35" s="14">
        <v>32.953557910000001</v>
      </c>
      <c r="F35" s="16">
        <v>2.6496341600000002</v>
      </c>
      <c r="G35" s="14">
        <v>67.046442089999999</v>
      </c>
      <c r="H35" s="16">
        <v>2.6496341600000002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(2818/B36*100)</f>
        <v>82.784958871915393</v>
      </c>
      <c r="D36" s="15">
        <v>586</v>
      </c>
      <c r="E36" s="14">
        <v>37.39905469</v>
      </c>
      <c r="F36" s="16">
        <v>1.9802442200000001</v>
      </c>
      <c r="G36" s="14">
        <v>62.60094531</v>
      </c>
      <c r="H36" s="16">
        <v>1.9802442200000001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21.536594090000001</v>
      </c>
      <c r="F37" s="16">
        <v>1.9336848900000001</v>
      </c>
      <c r="G37" s="14">
        <v>78.463405910000006</v>
      </c>
      <c r="H37" s="16">
        <v>1.9336848900000001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61.786370599999998</v>
      </c>
      <c r="F39" s="16">
        <v>2.0809039999999999</v>
      </c>
      <c r="G39" s="14">
        <v>38.213629400000002</v>
      </c>
      <c r="H39" s="16">
        <v>2.0809039999999999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25.11344862</v>
      </c>
      <c r="F40" s="16">
        <v>1.8081953500000001</v>
      </c>
      <c r="G40" s="14">
        <v>74.88655138</v>
      </c>
      <c r="H40" s="16">
        <v>1.8081953500000001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(2364/B41*100)</f>
        <v>82.831114225648221</v>
      </c>
      <c r="D41" s="15">
        <v>490</v>
      </c>
      <c r="E41" s="14">
        <v>21.963246779999999</v>
      </c>
      <c r="F41" s="16">
        <v>2.17111564</v>
      </c>
      <c r="G41" s="14">
        <v>78.036753219999994</v>
      </c>
      <c r="H41" s="16">
        <v>2.17111564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82.9542407849776</v>
      </c>
      <c r="D42" s="15">
        <f>IF(COUNT(D7:D41) &gt; 0, AVERAGE(D7:D41), "—")</f>
        <v>617.34375</v>
      </c>
      <c r="E42" s="14">
        <f>IF(COUNT(E7:E41) &gt; 0, AVERAGE(E7:E41), "—")</f>
        <v>32.095593761249994</v>
      </c>
      <c r="F42" s="16">
        <f>IF(COUNT(F7:F41) &gt; 0, SQRT(SUMSQ(F7:F41)/(COUNT(F7:F41)*COUNT(F7:F41)) ), "—")</f>
        <v>0.37525841138717336</v>
      </c>
      <c r="G42" s="14">
        <f>IF(COUNT(G7:G41) &gt; 0, AVERAGE(G7:G41), "—")</f>
        <v>67.904406238749985</v>
      </c>
      <c r="H42" s="16">
        <f>IF(COUNT(H7:H41) &gt; 0, SQRT(SUMSQ(H7:H41)/(COUNT(H7:H41)*COUNT(H7:H41)) ), "—")</f>
        <v>0.37525841138717336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(10154/B46*100)</f>
        <v>84.10502774786714</v>
      </c>
      <c r="D46" s="15">
        <v>1919</v>
      </c>
      <c r="E46" s="14">
        <v>58.026893540000003</v>
      </c>
      <c r="F46" s="16">
        <v>1.4329784800000001</v>
      </c>
      <c r="G46" s="14">
        <v>41.973106459999997</v>
      </c>
      <c r="H46" s="16">
        <v>1.4329784800000001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(2354/B47*100)</f>
        <v>83.386468296138858</v>
      </c>
      <c r="D47" s="15">
        <v>469</v>
      </c>
      <c r="E47" s="14">
        <v>46.466545070000002</v>
      </c>
      <c r="F47" s="16">
        <v>2.5991865999999999</v>
      </c>
      <c r="G47" s="14">
        <v>53.533454929999998</v>
      </c>
      <c r="H47" s="16">
        <v>2.5991865999999999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(3861/B48*100)</f>
        <v>82.464758650149506</v>
      </c>
      <c r="D48" s="15">
        <v>821</v>
      </c>
      <c r="E48" s="14">
        <v>41.705454420000002</v>
      </c>
      <c r="F48" s="16">
        <v>2.39747713</v>
      </c>
      <c r="G48" s="14">
        <v>58.294545579999998</v>
      </c>
      <c r="H48" s="16">
        <v>2.39747713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57.461309399999998</v>
      </c>
      <c r="F50" s="16">
        <v>2.12026972</v>
      </c>
      <c r="G50" s="14">
        <v>42.538690600000002</v>
      </c>
      <c r="H50" s="16">
        <v>2.12026972</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(2974/B51*100)</f>
        <v>85.117344018317127</v>
      </c>
      <c r="D51" s="15">
        <v>520</v>
      </c>
      <c r="E51" s="14">
        <v>54.556757070000003</v>
      </c>
      <c r="F51" s="16">
        <v>2.2838496300000002</v>
      </c>
      <c r="G51" s="14">
        <v>45.443242929999997</v>
      </c>
      <c r="H51" s="16">
        <v>2.2838496300000002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51.3351033</v>
      </c>
      <c r="F52" s="16">
        <v>2.1248263500000002</v>
      </c>
      <c r="G52" s="14">
        <v>48.6648967</v>
      </c>
      <c r="H52" s="16">
        <v>2.1248263500000002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(2272/B53*100)</f>
        <v>82.318840579710141</v>
      </c>
      <c r="D53" s="15">
        <v>488</v>
      </c>
      <c r="E53" s="14">
        <v>60.610594220000003</v>
      </c>
      <c r="F53" s="16">
        <v>2.1393085799999998</v>
      </c>
      <c r="G53" s="14">
        <v>39.389405779999997</v>
      </c>
      <c r="H53" s="16">
        <v>2.1393085799999998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38.721442600000003</v>
      </c>
      <c r="F56" s="16">
        <v>2.35840804</v>
      </c>
      <c r="G56" s="14">
        <v>61.278557399999997</v>
      </c>
      <c r="H56" s="16">
        <v>2.35840804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36.783864950000002</v>
      </c>
      <c r="F61" s="16">
        <v>2.36020064</v>
      </c>
      <c r="G61" s="14">
        <v>63.216135049999998</v>
      </c>
      <c r="H61" s="16">
        <v>2.36020064</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(1837/B62*100)</f>
        <v>82.376681614349778</v>
      </c>
      <c r="D62" s="15">
        <v>393</v>
      </c>
      <c r="E62" s="14">
        <v>30.348563729999999</v>
      </c>
      <c r="F62" s="16">
        <v>2.4726089600000001</v>
      </c>
      <c r="G62" s="14">
        <v>69.651436270000005</v>
      </c>
      <c r="H62" s="16">
        <v>2.4726089600000001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(2298/B66*100)</f>
        <v>82.930350054132091</v>
      </c>
      <c r="D66" s="15">
        <v>473</v>
      </c>
      <c r="E66" s="14">
        <v>48.814004500000003</v>
      </c>
      <c r="F66" s="16">
        <v>2.0253017</v>
      </c>
      <c r="G66" s="14">
        <v>51.185995499999997</v>
      </c>
      <c r="H66" s="16">
        <v>2.0253017</v>
      </c>
      <c r="I66" s="14" t="s">
        <v>139</v>
      </c>
      <c r="J66" s="16" t="s">
        <v>139</v>
      </c>
      <c r="K66" s="14">
        <v>0</v>
      </c>
      <c r="L66" s="16">
        <v>0</v>
      </c>
      <c r="M66" s="14">
        <v>0</v>
      </c>
      <c r="N66" s="16">
        <v>0</v>
      </c>
      <c r="O66" s="14">
        <v>0</v>
      </c>
      <c r="P66" s="16">
        <v>0</v>
      </c>
      <c r="Q66" s="14">
        <v>0</v>
      </c>
      <c r="R66" s="16">
        <v>0</v>
      </c>
    </row>
    <row r="67" spans="1:18" x14ac:dyDescent="0.25">
      <c r="A67" s="11" t="s">
        <v>200</v>
      </c>
      <c r="B67" s="13">
        <v>3460</v>
      </c>
      <c r="C67" s="14">
        <f>(2873/B67*100)</f>
        <v>83.034682080924853</v>
      </c>
      <c r="D67" s="15">
        <v>587</v>
      </c>
      <c r="E67" s="14">
        <v>66.046176340000002</v>
      </c>
      <c r="F67" s="16">
        <v>2.0588001600000001</v>
      </c>
      <c r="G67" s="14">
        <v>33.953823659999998</v>
      </c>
      <c r="H67" s="16">
        <v>2.0588001600000001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(2572/B70*100)</f>
        <v>82.780817508850973</v>
      </c>
      <c r="D70" s="15">
        <v>535</v>
      </c>
      <c r="E70" s="14">
        <v>35.937411269999998</v>
      </c>
      <c r="F70" s="16">
        <v>2.1178372900000002</v>
      </c>
      <c r="G70" s="14">
        <v>64.062588730000002</v>
      </c>
      <c r="H70" s="16">
        <v>2.1178372900000002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42.270629120000002</v>
      </c>
      <c r="F72" s="16">
        <v>2.1173132899999998</v>
      </c>
      <c r="G72" s="14">
        <v>57.729370879999998</v>
      </c>
      <c r="H72" s="16">
        <v>2.1173132899999998</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(3882/B73*100)</f>
        <v>83.447979363714524</v>
      </c>
      <c r="D73" s="15">
        <v>770</v>
      </c>
      <c r="E73" s="14">
        <v>48.671806850000003</v>
      </c>
      <c r="F73" s="16">
        <v>2.0921949199999998</v>
      </c>
      <c r="G73" s="14">
        <v>51.328193149999997</v>
      </c>
      <c r="H73" s="16">
        <v>2.0921949199999998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(2468/B75*100)</f>
        <v>83.125631525766252</v>
      </c>
      <c r="D75" s="15">
        <v>501</v>
      </c>
      <c r="E75" s="14">
        <v>85.272066089999996</v>
      </c>
      <c r="F75" s="16">
        <v>1.3808393299999999</v>
      </c>
      <c r="G75" s="14">
        <v>14.727933910000001</v>
      </c>
      <c r="H75" s="16">
        <v>1.3808393299999999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59.565494440000002</v>
      </c>
      <c r="F76" s="16">
        <v>1.9708331299999999</v>
      </c>
      <c r="G76" s="14">
        <v>40.434505559999998</v>
      </c>
      <c r="H76" s="16">
        <v>1.9708331299999999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(2605/B77*100)</f>
        <v>82.593532022828157</v>
      </c>
      <c r="D77" s="15">
        <v>549</v>
      </c>
      <c r="E77" s="14">
        <v>47.033226519999999</v>
      </c>
      <c r="F77" s="16">
        <v>2.1139589999999999</v>
      </c>
      <c r="G77" s="14">
        <v>52.966773480000001</v>
      </c>
      <c r="H77" s="16">
        <v>2.1139589999999999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53.49967599</v>
      </c>
      <c r="F81" s="16">
        <v>2.51957494</v>
      </c>
      <c r="G81" s="14">
        <v>46.50032401</v>
      </c>
      <c r="H81" s="16">
        <v>2.51957494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(5955/B7*100)</f>
        <v>83.135557727209275</v>
      </c>
      <c r="D7" s="15">
        <v>1208</v>
      </c>
      <c r="E7" s="14">
        <v>36.55584365</v>
      </c>
      <c r="F7" s="16">
        <v>1.5485313000000001</v>
      </c>
      <c r="G7" s="14">
        <v>63.44415635</v>
      </c>
      <c r="H7" s="16">
        <v>1.5485313000000001</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32.361109810000002</v>
      </c>
      <c r="F8" s="16">
        <v>2.04870924</v>
      </c>
      <c r="G8" s="14">
        <v>67.638890189999998</v>
      </c>
      <c r="H8" s="16">
        <v>2.04870924</v>
      </c>
      <c r="I8" s="14" t="s">
        <v>139</v>
      </c>
      <c r="J8" s="16" t="s">
        <v>139</v>
      </c>
      <c r="K8" s="14">
        <v>0</v>
      </c>
      <c r="L8" s="16">
        <v>0</v>
      </c>
      <c r="M8" s="14">
        <v>0</v>
      </c>
      <c r="N8" s="16">
        <v>0</v>
      </c>
      <c r="O8" s="14">
        <v>0</v>
      </c>
      <c r="P8" s="16">
        <v>0</v>
      </c>
      <c r="Q8" s="14">
        <v>0</v>
      </c>
      <c r="R8" s="16">
        <v>0</v>
      </c>
    </row>
    <row r="9" spans="1:18" x14ac:dyDescent="0.25">
      <c r="A9" s="11" t="s">
        <v>141</v>
      </c>
      <c r="B9" s="13">
        <v>4752</v>
      </c>
      <c r="C9" s="14">
        <f>(3922/B9*100)</f>
        <v>82.533670033670035</v>
      </c>
      <c r="D9" s="15">
        <v>830</v>
      </c>
      <c r="E9" s="14">
        <v>41.323412650000002</v>
      </c>
      <c r="F9" s="16">
        <v>1.7469507099999999</v>
      </c>
      <c r="G9" s="14">
        <v>58.676587349999998</v>
      </c>
      <c r="H9" s="16">
        <v>1.7469507099999999</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38.16540664</v>
      </c>
      <c r="F10" s="16">
        <v>1.7611316100000001</v>
      </c>
      <c r="G10" s="14">
        <v>61.83459336</v>
      </c>
      <c r="H10" s="16">
        <v>1.7611316100000001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(2898/B11*100)</f>
        <v>82.8</v>
      </c>
      <c r="D11" s="15">
        <v>602</v>
      </c>
      <c r="E11" s="14">
        <v>60.928066000000001</v>
      </c>
      <c r="F11" s="16">
        <v>2.2670330600000002</v>
      </c>
      <c r="G11" s="14">
        <v>39.071933999999999</v>
      </c>
      <c r="H11" s="16">
        <v>2.2670330600000002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(2850/B12*100)</f>
        <v>83.284628872004674</v>
      </c>
      <c r="D12" s="15">
        <v>572</v>
      </c>
      <c r="E12" s="14">
        <v>35.512970410000001</v>
      </c>
      <c r="F12" s="16">
        <v>1.9520235399999999</v>
      </c>
      <c r="G12" s="14">
        <v>64.487029590000006</v>
      </c>
      <c r="H12" s="16">
        <v>1.9520235399999999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(3014/B13*100)</f>
        <v>83.67573570238757</v>
      </c>
      <c r="D13" s="15">
        <v>588</v>
      </c>
      <c r="E13" s="14">
        <v>37.191475259999997</v>
      </c>
      <c r="F13" s="16">
        <v>2.0485077899999999</v>
      </c>
      <c r="G13" s="14">
        <v>62.808524740000003</v>
      </c>
      <c r="H13" s="16">
        <v>2.0485077899999999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(2314/B14*100)</f>
        <v>82.998565279770446</v>
      </c>
      <c r="D14" s="15">
        <v>474</v>
      </c>
      <c r="E14" s="14">
        <v>25.9316137</v>
      </c>
      <c r="F14" s="16">
        <v>2.0429921700000002</v>
      </c>
      <c r="G14" s="14">
        <v>74.0683863</v>
      </c>
      <c r="H14" s="16">
        <v>2.0429921700000002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(2383/B15*100)</f>
        <v>83.234369542438003</v>
      </c>
      <c r="D15" s="15">
        <v>480</v>
      </c>
      <c r="E15" s="14">
        <v>39.88192884</v>
      </c>
      <c r="F15" s="16">
        <v>2.3080803099999998</v>
      </c>
      <c r="G15" s="14">
        <v>60.11807116</v>
      </c>
      <c r="H15" s="16">
        <v>2.3080803099999998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44.419080309999998</v>
      </c>
      <c r="F16" s="16">
        <v>2.0371087299999999</v>
      </c>
      <c r="G16" s="14">
        <v>55.580919690000002</v>
      </c>
      <c r="H16" s="16">
        <v>2.0371087299999999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(2642/B17*100)</f>
        <v>82.639974976540515</v>
      </c>
      <c r="D17" s="15">
        <v>555</v>
      </c>
      <c r="E17" s="14">
        <v>22.847233719999998</v>
      </c>
      <c r="F17" s="16">
        <v>1.6890942600000001</v>
      </c>
      <c r="G17" s="14">
        <v>77.152766279999994</v>
      </c>
      <c r="H17" s="16">
        <v>1.6890942600000001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52.505279569999999</v>
      </c>
      <c r="F18" s="16">
        <v>2.7766325100000002</v>
      </c>
      <c r="G18" s="14">
        <v>47.494720430000001</v>
      </c>
      <c r="H18" s="16">
        <v>2.7766325100000002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(2367/B19*100)</f>
        <v>83.05263157894737</v>
      </c>
      <c r="D19" s="15">
        <v>483</v>
      </c>
      <c r="E19" s="14">
        <v>48.252716020000001</v>
      </c>
      <c r="F19" s="16">
        <v>2.7108754799999999</v>
      </c>
      <c r="G19" s="14">
        <v>51.747283979999999</v>
      </c>
      <c r="H19" s="16">
        <v>2.7108754799999999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36.906534780000001</v>
      </c>
      <c r="F20" s="16">
        <v>2.9958372799999999</v>
      </c>
      <c r="G20" s="14">
        <v>63.093465219999999</v>
      </c>
      <c r="H20" s="16">
        <v>2.9958372799999999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47.376212160000001</v>
      </c>
      <c r="F22" s="16">
        <v>2.2190726199999999</v>
      </c>
      <c r="G22" s="14">
        <v>52.623787839999999</v>
      </c>
      <c r="H22" s="16">
        <v>2.2190726199999999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40.257668889999998</v>
      </c>
      <c r="F23" s="16">
        <v>2.4870055400000002</v>
      </c>
      <c r="G23" s="14">
        <v>59.742331110000002</v>
      </c>
      <c r="H23" s="16">
        <v>2.4870055400000002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(2743/B24*100)</f>
        <v>82.895134481716525</v>
      </c>
      <c r="D24" s="15">
        <v>566</v>
      </c>
      <c r="E24" s="14">
        <v>50.660625080000003</v>
      </c>
      <c r="F24" s="16">
        <v>1.9117425800000001</v>
      </c>
      <c r="G24" s="14">
        <v>49.339374919999997</v>
      </c>
      <c r="H24" s="16">
        <v>1.9117425800000001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48.043940630000002</v>
      </c>
      <c r="F25" s="16">
        <v>2.4737898</v>
      </c>
      <c r="G25" s="14">
        <v>51.956059369999998</v>
      </c>
      <c r="H25" s="16">
        <v>2.4737898</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42.692859249999998</v>
      </c>
      <c r="F26" s="16">
        <v>2.34818317</v>
      </c>
      <c r="G26" s="14">
        <v>57.307140750000002</v>
      </c>
      <c r="H26" s="16">
        <v>2.34818317</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(2223/B27*100)</f>
        <v>82.855013045098772</v>
      </c>
      <c r="D27" s="15">
        <v>460</v>
      </c>
      <c r="E27" s="14">
        <v>41.011670619999997</v>
      </c>
      <c r="F27" s="16">
        <v>2.0089440500000002</v>
      </c>
      <c r="G27" s="14">
        <v>58.988329380000003</v>
      </c>
      <c r="H27" s="16">
        <v>2.0089440500000002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(3201/B28*100)</f>
        <v>84.170391795950565</v>
      </c>
      <c r="D28" s="15">
        <v>602</v>
      </c>
      <c r="E28" s="14">
        <v>63.350788450000003</v>
      </c>
      <c r="F28" s="16">
        <v>1.6942630000000001</v>
      </c>
      <c r="G28" s="14">
        <v>36.649211549999997</v>
      </c>
      <c r="H28" s="16">
        <v>1.6942630000000001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33.476036919999999</v>
      </c>
      <c r="F29" s="16">
        <v>2.0388039899999999</v>
      </c>
      <c r="G29" s="14">
        <v>66.523963080000001</v>
      </c>
      <c r="H29" s="16">
        <v>2.0388039899999999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34.180723819999997</v>
      </c>
      <c r="F30" s="16">
        <v>2.4041511500000001</v>
      </c>
      <c r="G30" s="14">
        <v>65.819276180000003</v>
      </c>
      <c r="H30" s="16">
        <v>2.4041511500000001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(2246/B31*100)</f>
        <v>83.000739098300073</v>
      </c>
      <c r="D31" s="15">
        <v>460</v>
      </c>
      <c r="E31" s="14">
        <v>37.434736479999998</v>
      </c>
      <c r="F31" s="16">
        <v>2.3922219899999999</v>
      </c>
      <c r="G31" s="14">
        <v>62.565263520000002</v>
      </c>
      <c r="H31" s="16">
        <v>2.3922219899999999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50.989505440000002</v>
      </c>
      <c r="F33" s="16">
        <v>2.3767263999999999</v>
      </c>
      <c r="G33" s="14">
        <v>49.010494559999998</v>
      </c>
      <c r="H33" s="16">
        <v>2.3767263999999999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(2536/B34*100)</f>
        <v>83.558484349258649</v>
      </c>
      <c r="D34" s="15">
        <v>499</v>
      </c>
      <c r="E34" s="14">
        <v>43.376133609999997</v>
      </c>
      <c r="F34" s="16">
        <v>2.4129323899999999</v>
      </c>
      <c r="G34" s="14">
        <v>56.623866390000003</v>
      </c>
      <c r="H34" s="16">
        <v>2.4129323899999999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(2394/B35*100)</f>
        <v>82.523267838676318</v>
      </c>
      <c r="D35" s="15">
        <v>507</v>
      </c>
      <c r="E35" s="14">
        <v>38.73519039</v>
      </c>
      <c r="F35" s="16">
        <v>2.34858995</v>
      </c>
      <c r="G35" s="14">
        <v>61.26480961</v>
      </c>
      <c r="H35" s="16">
        <v>2.34858995</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(2821/B36*100)</f>
        <v>82.873090481786136</v>
      </c>
      <c r="D36" s="15">
        <v>583</v>
      </c>
      <c r="E36" s="14">
        <v>45.893058510000003</v>
      </c>
      <c r="F36" s="16">
        <v>1.6724140599999999</v>
      </c>
      <c r="G36" s="14">
        <v>54.106941489999997</v>
      </c>
      <c r="H36" s="16">
        <v>1.6724140599999999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(2296/B37*100)</f>
        <v>84.071768582936656</v>
      </c>
      <c r="D37" s="15">
        <v>435</v>
      </c>
      <c r="E37" s="14">
        <v>34.197257200000003</v>
      </c>
      <c r="F37" s="16">
        <v>2.4764689</v>
      </c>
      <c r="G37" s="14">
        <v>65.802742800000004</v>
      </c>
      <c r="H37" s="16">
        <v>2.4764689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54.309538209999999</v>
      </c>
      <c r="F39" s="16">
        <v>2.4738116799999998</v>
      </c>
      <c r="G39" s="14">
        <v>45.690461790000001</v>
      </c>
      <c r="H39" s="16">
        <v>2.4738116799999998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38.792687100000002</v>
      </c>
      <c r="F40" s="16">
        <v>2.2802118299999998</v>
      </c>
      <c r="G40" s="14">
        <v>61.207312899999998</v>
      </c>
      <c r="H40" s="16">
        <v>2.2802118299999998</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(2366/B41*100)</f>
        <v>82.90119131044149</v>
      </c>
      <c r="D41" s="15">
        <v>488</v>
      </c>
      <c r="E41" s="14">
        <v>38.153370889999998</v>
      </c>
      <c r="F41" s="16">
        <v>2.49971473</v>
      </c>
      <c r="G41" s="14">
        <v>61.846629110000002</v>
      </c>
      <c r="H41" s="16">
        <v>2.49971473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83.015206752250464</v>
      </c>
      <c r="D42" s="15">
        <f>IF(COUNT(D7:D41) &gt; 0, AVERAGE(D7:D41), "—")</f>
        <v>615.34375</v>
      </c>
      <c r="E42" s="14">
        <f>IF(COUNT(E7:E41) &gt; 0, AVERAGE(E7:E41), "—")</f>
        <v>41.741083594062488</v>
      </c>
      <c r="F42" s="16">
        <f>IF(COUNT(F7:F41) &gt; 0, SQRT(SUMSQ(F7:F41)/(COUNT(F7:F41)*COUNT(F7:F41)) ), "—")</f>
        <v>0.39389926171494283</v>
      </c>
      <c r="G42" s="14">
        <f>IF(COUNT(G7:G41) &gt; 0, AVERAGE(G7:G41), "—")</f>
        <v>58.258916405937512</v>
      </c>
      <c r="H42" s="16">
        <f>IF(COUNT(H7:H41) &gt; 0, SQRT(SUMSQ(H7:H41)/(COUNT(H7:H41)*COUNT(H7:H41)) ), "—")</f>
        <v>0.39389926171494283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(10241/B46*100)</f>
        <v>84.825643999006047</v>
      </c>
      <c r="D46" s="15">
        <v>1832</v>
      </c>
      <c r="E46" s="14">
        <v>71.032250410000003</v>
      </c>
      <c r="F46" s="16">
        <v>1.2227748300000001</v>
      </c>
      <c r="G46" s="14">
        <v>28.96774959</v>
      </c>
      <c r="H46" s="16">
        <v>1.2227748300000001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(2359/B47*100)</f>
        <v>83.563584838823942</v>
      </c>
      <c r="D47" s="15">
        <v>464</v>
      </c>
      <c r="E47" s="14">
        <v>56.36211084</v>
      </c>
      <c r="F47" s="16">
        <v>2.2798860900000002</v>
      </c>
      <c r="G47" s="14">
        <v>43.63788916</v>
      </c>
      <c r="H47" s="16">
        <v>2.2798860900000002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(3862/B48*100)</f>
        <v>82.486117043998291</v>
      </c>
      <c r="D48" s="15">
        <v>820</v>
      </c>
      <c r="E48" s="14">
        <v>40.372177870000002</v>
      </c>
      <c r="F48" s="16">
        <v>2.4345012100000001</v>
      </c>
      <c r="G48" s="14">
        <v>59.627822129999998</v>
      </c>
      <c r="H48" s="16">
        <v>2.4345012100000001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(5126/B50*100)</f>
        <v>83.241312114322824</v>
      </c>
      <c r="D50" s="15">
        <v>1032</v>
      </c>
      <c r="E50" s="14">
        <v>67.285395050000005</v>
      </c>
      <c r="F50" s="16">
        <v>1.75826485</v>
      </c>
      <c r="G50" s="14">
        <v>32.714604950000002</v>
      </c>
      <c r="H50" s="16">
        <v>1.75826485</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(2980/B51*100)</f>
        <v>85.289066971951925</v>
      </c>
      <c r="D51" s="15">
        <v>514</v>
      </c>
      <c r="E51" s="14">
        <v>67.511180429999996</v>
      </c>
      <c r="F51" s="16">
        <v>2.2835634599999999</v>
      </c>
      <c r="G51" s="14">
        <v>32.488819569999997</v>
      </c>
      <c r="H51" s="16">
        <v>2.2835634599999999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55.286429509999998</v>
      </c>
      <c r="F52" s="16">
        <v>2.24103824</v>
      </c>
      <c r="G52" s="14">
        <v>44.713570490000002</v>
      </c>
      <c r="H52" s="16">
        <v>2.24103824</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(2274/B53*100)</f>
        <v>82.391304347826093</v>
      </c>
      <c r="D53" s="15">
        <v>486</v>
      </c>
      <c r="E53" s="14">
        <v>56.510101149999997</v>
      </c>
      <c r="F53" s="16">
        <v>2.6610471200000001</v>
      </c>
      <c r="G53" s="14">
        <v>43.489898850000003</v>
      </c>
      <c r="H53" s="16">
        <v>2.6610471200000001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33.439720700000002</v>
      </c>
      <c r="F56" s="16">
        <v>2.0787266999999998</v>
      </c>
      <c r="G56" s="14">
        <v>66.560279300000005</v>
      </c>
      <c r="H56" s="16">
        <v>2.0787266999999998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37.835603720000002</v>
      </c>
      <c r="F61" s="16">
        <v>2.3273711800000001</v>
      </c>
      <c r="G61" s="14">
        <v>62.164396279999998</v>
      </c>
      <c r="H61" s="16">
        <v>2.3273711800000001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(1839/B62*100)</f>
        <v>82.466367713004487</v>
      </c>
      <c r="D62" s="15">
        <v>391</v>
      </c>
      <c r="E62" s="14">
        <v>33.565069899999997</v>
      </c>
      <c r="F62" s="16">
        <v>2.4093486400000002</v>
      </c>
      <c r="G62" s="14">
        <v>66.434930100000003</v>
      </c>
      <c r="H62" s="16">
        <v>2.4093486400000002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69.933587040000006</v>
      </c>
      <c r="F66" s="16">
        <v>2.0025115900000001</v>
      </c>
      <c r="G66" s="14">
        <v>30.066412960000001</v>
      </c>
      <c r="H66" s="16">
        <v>2.0025115900000001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(2890/B67*100)</f>
        <v>83.526011560693647</v>
      </c>
      <c r="D67" s="15">
        <v>570</v>
      </c>
      <c r="E67" s="14">
        <v>71.324218560000006</v>
      </c>
      <c r="F67" s="16">
        <v>2.22134353</v>
      </c>
      <c r="G67" s="14">
        <v>28.675781440000002</v>
      </c>
      <c r="H67" s="16">
        <v>2.22134353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(2575/B70*100)</f>
        <v>82.877373672352746</v>
      </c>
      <c r="D70" s="15">
        <v>532</v>
      </c>
      <c r="E70" s="14">
        <v>39.962936079999999</v>
      </c>
      <c r="F70" s="16">
        <v>2.93116676</v>
      </c>
      <c r="G70" s="14">
        <v>60.037063920000001</v>
      </c>
      <c r="H70" s="16">
        <v>2.93116676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35.866104679999999</v>
      </c>
      <c r="F72" s="16">
        <v>1.7695918399999999</v>
      </c>
      <c r="G72" s="14">
        <v>64.133895319999993</v>
      </c>
      <c r="H72" s="16">
        <v>1.7695918399999999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(3893/B73*100)</f>
        <v>83.684436801375753</v>
      </c>
      <c r="D73" s="15">
        <v>759</v>
      </c>
      <c r="E73" s="14">
        <v>38.52837143</v>
      </c>
      <c r="F73" s="16">
        <v>2.0594313899999999</v>
      </c>
      <c r="G73" s="14">
        <v>61.47162857</v>
      </c>
      <c r="H73" s="16">
        <v>2.0594313899999999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(2476/B75*100)</f>
        <v>83.395082519366795</v>
      </c>
      <c r="D75" s="15">
        <v>493</v>
      </c>
      <c r="E75" s="14">
        <v>71.798926309999999</v>
      </c>
      <c r="F75" s="16">
        <v>1.8548896800000001</v>
      </c>
      <c r="G75" s="14">
        <v>28.201073690000001</v>
      </c>
      <c r="H75" s="16">
        <v>1.8548896800000001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54.70766047</v>
      </c>
      <c r="F76" s="16">
        <v>1.6290976699999999</v>
      </c>
      <c r="G76" s="14">
        <v>45.29233953</v>
      </c>
      <c r="H76" s="16">
        <v>1.6290976699999999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(2610/B77*100)</f>
        <v>82.752060875079266</v>
      </c>
      <c r="D77" s="15">
        <v>544</v>
      </c>
      <c r="E77" s="14">
        <v>65.130788240000001</v>
      </c>
      <c r="F77" s="16">
        <v>2.0077000599999999</v>
      </c>
      <c r="G77" s="14">
        <v>34.869211759999999</v>
      </c>
      <c r="H77" s="16">
        <v>2.0077000599999999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54.498081880000001</v>
      </c>
      <c r="F81" s="16">
        <v>2.0169124599999999</v>
      </c>
      <c r="G81" s="14">
        <v>45.501918119999999</v>
      </c>
      <c r="H81" s="16">
        <v>2.0169124599999999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(5955/B7*100)</f>
        <v>83.135557727209275</v>
      </c>
      <c r="D7" s="15">
        <v>1208</v>
      </c>
      <c r="E7" s="14">
        <v>43.461429969999998</v>
      </c>
      <c r="F7" s="16">
        <v>1.7046492600000001</v>
      </c>
      <c r="G7" s="14">
        <v>56.538570030000002</v>
      </c>
      <c r="H7" s="16">
        <v>1.7046492600000001</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48.986619310000002</v>
      </c>
      <c r="F8" s="16">
        <v>2.1358440399999998</v>
      </c>
      <c r="G8" s="14">
        <v>51.013380689999998</v>
      </c>
      <c r="H8" s="16">
        <v>2.1358440399999998</v>
      </c>
      <c r="I8" s="14" t="s">
        <v>139</v>
      </c>
      <c r="J8" s="16" t="s">
        <v>139</v>
      </c>
      <c r="K8" s="14">
        <v>0</v>
      </c>
      <c r="L8" s="16">
        <v>0</v>
      </c>
      <c r="M8" s="14">
        <v>0</v>
      </c>
      <c r="N8" s="16">
        <v>0</v>
      </c>
      <c r="O8" s="14">
        <v>0</v>
      </c>
      <c r="P8" s="16">
        <v>0</v>
      </c>
      <c r="Q8" s="14">
        <v>0</v>
      </c>
      <c r="R8" s="16">
        <v>0</v>
      </c>
    </row>
    <row r="9" spans="1:18" x14ac:dyDescent="0.25">
      <c r="A9" s="11" t="s">
        <v>141</v>
      </c>
      <c r="B9" s="13">
        <v>4752</v>
      </c>
      <c r="C9" s="14">
        <f>(3922/B9*100)</f>
        <v>82.533670033670035</v>
      </c>
      <c r="D9" s="15">
        <v>830</v>
      </c>
      <c r="E9" s="14">
        <v>55.562849479999997</v>
      </c>
      <c r="F9" s="16">
        <v>1.80189756</v>
      </c>
      <c r="G9" s="14">
        <v>44.437150520000003</v>
      </c>
      <c r="H9" s="16">
        <v>1.80189756</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47.625899709999999</v>
      </c>
      <c r="F10" s="16">
        <v>1.84631203</v>
      </c>
      <c r="G10" s="14">
        <v>52.374100290000001</v>
      </c>
      <c r="H10" s="16">
        <v>1.84631203</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(2898/B11*100)</f>
        <v>82.8</v>
      </c>
      <c r="D11" s="15">
        <v>602</v>
      </c>
      <c r="E11" s="14">
        <v>60.203842430000002</v>
      </c>
      <c r="F11" s="16">
        <v>2.0325943400000002</v>
      </c>
      <c r="G11" s="14">
        <v>39.796157569999998</v>
      </c>
      <c r="H11" s="16">
        <v>2.0325943400000002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(2850/B12*100)</f>
        <v>83.284628872004674</v>
      </c>
      <c r="D12" s="15">
        <v>572</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3602</v>
      </c>
      <c r="C13" s="14">
        <f>(3014/B13*100)</f>
        <v>83.67573570238757</v>
      </c>
      <c r="D13" s="15">
        <v>588</v>
      </c>
      <c r="E13" s="14">
        <v>57.301617039999996</v>
      </c>
      <c r="F13" s="16">
        <v>2.4057035999999998</v>
      </c>
      <c r="G13" s="14">
        <v>42.698382960000004</v>
      </c>
      <c r="H13" s="16">
        <v>2.4057035999999998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(2314/B14*100)</f>
        <v>82.998565279770446</v>
      </c>
      <c r="D14" s="15">
        <v>474</v>
      </c>
      <c r="E14" s="14">
        <v>55.111957709999999</v>
      </c>
      <c r="F14" s="16">
        <v>2.34529904</v>
      </c>
      <c r="G14" s="14">
        <v>44.888042290000001</v>
      </c>
      <c r="H14" s="16">
        <v>2.34529904</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(2383/B15*100)</f>
        <v>83.234369542438003</v>
      </c>
      <c r="D15" s="15">
        <v>480</v>
      </c>
      <c r="E15" s="14">
        <v>40.012117330000002</v>
      </c>
      <c r="F15" s="16">
        <v>2.5430029599999999</v>
      </c>
      <c r="G15" s="14">
        <v>59.987882669999998</v>
      </c>
      <c r="H15" s="16">
        <v>2.5430029599999999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55.713903180000003</v>
      </c>
      <c r="F16" s="16">
        <v>2.1416302599999999</v>
      </c>
      <c r="G16" s="14">
        <v>44.286096819999997</v>
      </c>
      <c r="H16" s="16">
        <v>2.1416302599999999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(2642/B17*100)</f>
        <v>82.639974976540515</v>
      </c>
      <c r="D17" s="15">
        <v>555</v>
      </c>
      <c r="E17" s="14">
        <v>42.511939859999998</v>
      </c>
      <c r="F17" s="16">
        <v>1.99993292</v>
      </c>
      <c r="G17" s="14">
        <v>57.488060140000002</v>
      </c>
      <c r="H17" s="16">
        <v>1.99993292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55.422548720000002</v>
      </c>
      <c r="F18" s="16">
        <v>2.4269879300000001</v>
      </c>
      <c r="G18" s="14">
        <v>44.577451279999998</v>
      </c>
      <c r="H18" s="16">
        <v>2.4269879300000001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(2367/B19*100)</f>
        <v>83.05263157894737</v>
      </c>
      <c r="D19" s="15">
        <v>483</v>
      </c>
      <c r="E19" s="14">
        <v>49.912098919999998</v>
      </c>
      <c r="F19" s="16">
        <v>2.2587314799999998</v>
      </c>
      <c r="G19" s="14">
        <v>50.087901080000002</v>
      </c>
      <c r="H19" s="16">
        <v>2.2587314799999998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54.842204150000001</v>
      </c>
      <c r="F20" s="16">
        <v>2.4226231199999999</v>
      </c>
      <c r="G20" s="14">
        <v>45.157795849999999</v>
      </c>
      <c r="H20" s="16">
        <v>2.4226231199999999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60.867644210000002</v>
      </c>
      <c r="F22" s="16">
        <v>2.2928443299999999</v>
      </c>
      <c r="G22" s="14">
        <v>39.132355789999998</v>
      </c>
      <c r="H22" s="16">
        <v>2.2928443299999999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56.285504240000002</v>
      </c>
      <c r="F23" s="16">
        <v>2.2625995200000002</v>
      </c>
      <c r="G23" s="14">
        <v>43.714495759999998</v>
      </c>
      <c r="H23" s="16">
        <v>2.2625995200000002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(2743/B24*100)</f>
        <v>82.895134481716525</v>
      </c>
      <c r="D24" s="15">
        <v>566</v>
      </c>
      <c r="E24" s="14">
        <v>29.342422460000002</v>
      </c>
      <c r="F24" s="16">
        <v>1.7103300699999999</v>
      </c>
      <c r="G24" s="14">
        <v>70.657577540000005</v>
      </c>
      <c r="H24" s="16">
        <v>1.7103300699999999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26.604251600000001</v>
      </c>
      <c r="F25" s="16">
        <v>2.1283076900000002</v>
      </c>
      <c r="G25" s="14">
        <v>73.395748400000002</v>
      </c>
      <c r="H25" s="16">
        <v>2.1283076900000002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50.637195869999999</v>
      </c>
      <c r="F26" s="16">
        <v>2.3569633900000002</v>
      </c>
      <c r="G26" s="14">
        <v>49.362804130000001</v>
      </c>
      <c r="H26" s="16">
        <v>2.3569633900000002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(2223/B27*100)</f>
        <v>82.855013045098772</v>
      </c>
      <c r="D27" s="15">
        <v>460</v>
      </c>
      <c r="E27" s="14">
        <v>50.63327907</v>
      </c>
      <c r="F27" s="16">
        <v>2.48041176</v>
      </c>
      <c r="G27" s="14">
        <v>49.36672093</v>
      </c>
      <c r="H27" s="16">
        <v>2.48041176</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(3201/B28*100)</f>
        <v>84.170391795950565</v>
      </c>
      <c r="D28" s="15">
        <v>602</v>
      </c>
      <c r="E28" s="14">
        <v>56.85161282</v>
      </c>
      <c r="F28" s="16">
        <v>2.3564052800000002</v>
      </c>
      <c r="G28" s="14">
        <v>43.14838718</v>
      </c>
      <c r="H28" s="16">
        <v>2.3564052800000002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51.388379149999999</v>
      </c>
      <c r="F29" s="16">
        <v>2.2304990199999999</v>
      </c>
      <c r="G29" s="14">
        <v>48.611620850000001</v>
      </c>
      <c r="H29" s="16">
        <v>2.2304990199999999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38.142033120000001</v>
      </c>
      <c r="F30" s="16">
        <v>2.6341059699999998</v>
      </c>
      <c r="G30" s="14">
        <v>61.857966879999999</v>
      </c>
      <c r="H30" s="16">
        <v>2.6341059699999998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(2246/B31*100)</f>
        <v>83.000739098300073</v>
      </c>
      <c r="D31" s="15">
        <v>460</v>
      </c>
      <c r="E31" s="14">
        <v>55.335339329999996</v>
      </c>
      <c r="F31" s="16">
        <v>2.3558918000000002</v>
      </c>
      <c r="G31" s="14">
        <v>44.664660670000004</v>
      </c>
      <c r="H31" s="16">
        <v>2.3558918000000002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53.749135750000001</v>
      </c>
      <c r="F33" s="16">
        <v>2.5964969899999999</v>
      </c>
      <c r="G33" s="14">
        <v>46.250864249999999</v>
      </c>
      <c r="H33" s="16">
        <v>2.5964969899999999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(2536/B34*100)</f>
        <v>83.558484349258649</v>
      </c>
      <c r="D34" s="15">
        <v>499</v>
      </c>
      <c r="E34" s="14">
        <v>58.97721172</v>
      </c>
      <c r="F34" s="16">
        <v>2.1599490100000001</v>
      </c>
      <c r="G34" s="14">
        <v>41.02278828</v>
      </c>
      <c r="H34" s="16">
        <v>2.1599490100000001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(2394/B35*100)</f>
        <v>82.523267838676318</v>
      </c>
      <c r="D35" s="15">
        <v>507</v>
      </c>
      <c r="E35" s="14">
        <v>44.167573920000002</v>
      </c>
      <c r="F35" s="16">
        <v>2.4124209099999998</v>
      </c>
      <c r="G35" s="14">
        <v>55.832426079999998</v>
      </c>
      <c r="H35" s="16">
        <v>2.4124209099999998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(2821/B36*100)</f>
        <v>82.873090481786136</v>
      </c>
      <c r="D36" s="15">
        <v>583</v>
      </c>
      <c r="E36" s="14">
        <v>59.220595670000002</v>
      </c>
      <c r="F36" s="16">
        <v>2.0145013999999999</v>
      </c>
      <c r="G36" s="14">
        <v>40.779404329999998</v>
      </c>
      <c r="H36" s="16">
        <v>2.0145013999999999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(2296/B37*100)</f>
        <v>84.071768582936656</v>
      </c>
      <c r="D37" s="15">
        <v>435</v>
      </c>
      <c r="E37" s="14">
        <v>55.668527609999998</v>
      </c>
      <c r="F37" s="16">
        <v>2.4288794</v>
      </c>
      <c r="G37" s="14">
        <v>44.331472390000002</v>
      </c>
      <c r="H37" s="16">
        <v>2.4288794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48.795405670000001</v>
      </c>
      <c r="F39" s="16">
        <v>2.5483349799999999</v>
      </c>
      <c r="G39" s="14">
        <v>51.204594329999999</v>
      </c>
      <c r="H39" s="16">
        <v>2.5483349799999999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44.648768369999999</v>
      </c>
      <c r="F40" s="16">
        <v>2.05686787</v>
      </c>
      <c r="G40" s="14">
        <v>55.351231630000001</v>
      </c>
      <c r="H40" s="16">
        <v>2.05686787</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(2366/B41*100)</f>
        <v>82.90119131044149</v>
      </c>
      <c r="D41" s="15">
        <v>488</v>
      </c>
      <c r="E41" s="14">
        <v>53.653330949999997</v>
      </c>
      <c r="F41" s="16">
        <v>2.3377612800000001</v>
      </c>
      <c r="G41" s="14">
        <v>46.346669050000003</v>
      </c>
      <c r="H41" s="16">
        <v>2.3377612800000001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83.015206752250464</v>
      </c>
      <c r="D42" s="15">
        <f>IF(COUNT(D7:D41) &gt; 0, AVERAGE(D7:D41), "—")</f>
        <v>615.34375</v>
      </c>
      <c r="E42" s="14">
        <f>IF(COUNT(E7:E41) &gt; 0, AVERAGE(E7:E41), "—")</f>
        <v>48.801163729374998</v>
      </c>
      <c r="F42" s="16">
        <f>IF(COUNT(F7:F41) &gt; 0, SQRT(SUMSQ(F7:F41)/(COUNT(F7:F41)*COUNT(F7:F41)) ), "—")</f>
        <v>0.3920438827315475</v>
      </c>
      <c r="G42" s="14">
        <f>IF(COUNT(G7:G41) &gt; 0, AVERAGE(G7:G41), "—")</f>
        <v>48.073836270625002</v>
      </c>
      <c r="H42" s="16">
        <f>IF(COUNT(H7:H41) &gt; 0, SQRT(SUMSQ(H7:H41)/(COUNT(H7:H41)*COUNT(H7:H41)) ), "—")</f>
        <v>0.3920438827315475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(10241/B46*100)</f>
        <v>84.825643999006047</v>
      </c>
      <c r="D46" s="15">
        <v>1832</v>
      </c>
      <c r="E46" s="14">
        <v>62.808006229999997</v>
      </c>
      <c r="F46" s="16">
        <v>1.3865341499999999</v>
      </c>
      <c r="G46" s="14">
        <v>37.191993770000003</v>
      </c>
      <c r="H46" s="16">
        <v>1.3865341499999999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(2359/B47*100)</f>
        <v>83.563584838823942</v>
      </c>
      <c r="D47" s="15">
        <v>464</v>
      </c>
      <c r="E47" s="14">
        <v>54.202968890000001</v>
      </c>
      <c r="F47" s="16">
        <v>2.0986996599999999</v>
      </c>
      <c r="G47" s="14">
        <v>45.797031109999999</v>
      </c>
      <c r="H47" s="16">
        <v>2.0986996599999999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(3862/B48*100)</f>
        <v>82.486117043998291</v>
      </c>
      <c r="D48" s="15">
        <v>820</v>
      </c>
      <c r="E48" s="14">
        <v>57.896310569999997</v>
      </c>
      <c r="F48" s="16">
        <v>2.2899497000000002</v>
      </c>
      <c r="G48" s="14">
        <v>42.103689430000003</v>
      </c>
      <c r="H48" s="16">
        <v>2.2899497000000002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(5126/B50*100)</f>
        <v>83.241312114322824</v>
      </c>
      <c r="D50" s="15">
        <v>1032</v>
      </c>
      <c r="E50" s="14">
        <v>63.891929070000003</v>
      </c>
      <c r="F50" s="16">
        <v>2.07315608</v>
      </c>
      <c r="G50" s="14">
        <v>36.108070929999997</v>
      </c>
      <c r="H50" s="16">
        <v>2.07315608</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(2980/B51*100)</f>
        <v>85.289066971951925</v>
      </c>
      <c r="D51" s="15">
        <v>514</v>
      </c>
      <c r="E51" s="14">
        <v>69.949942699999994</v>
      </c>
      <c r="F51" s="16">
        <v>2.4327902699999999</v>
      </c>
      <c r="G51" s="14">
        <v>30.050057299999999</v>
      </c>
      <c r="H51" s="16">
        <v>2.4327902699999999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55.509452029999999</v>
      </c>
      <c r="F52" s="16">
        <v>2.09460728</v>
      </c>
      <c r="G52" s="14">
        <v>44.490547970000001</v>
      </c>
      <c r="H52" s="16">
        <v>2.09460728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(2274/B53*100)</f>
        <v>82.391304347826093</v>
      </c>
      <c r="D53" s="15">
        <v>486</v>
      </c>
      <c r="E53" s="14">
        <v>63.04628177</v>
      </c>
      <c r="F53" s="16">
        <v>2.14616271</v>
      </c>
      <c r="G53" s="14">
        <v>36.95371823</v>
      </c>
      <c r="H53" s="16">
        <v>2.14616271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37.886910929999999</v>
      </c>
      <c r="F56" s="16">
        <v>2.42862292</v>
      </c>
      <c r="G56" s="14">
        <v>62.113089070000001</v>
      </c>
      <c r="H56" s="16">
        <v>2.42862292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56.538330729999998</v>
      </c>
      <c r="F61" s="16">
        <v>2.0767181099999998</v>
      </c>
      <c r="G61" s="14">
        <v>43.461669270000002</v>
      </c>
      <c r="H61" s="16">
        <v>2.0767181099999998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(1839/B62*100)</f>
        <v>82.466367713004487</v>
      </c>
      <c r="D62" s="15">
        <v>391</v>
      </c>
      <c r="E62" s="14">
        <v>38.921865109999999</v>
      </c>
      <c r="F62" s="16">
        <v>2.30393465</v>
      </c>
      <c r="G62" s="14">
        <v>61.078134890000001</v>
      </c>
      <c r="H62" s="16">
        <v>2.30393465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61.463558970000001</v>
      </c>
      <c r="F66" s="16">
        <v>2.0232871499999998</v>
      </c>
      <c r="G66" s="14">
        <v>38.536441029999999</v>
      </c>
      <c r="H66" s="16">
        <v>2.0232871499999998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(2890/B67*100)</f>
        <v>83.526011560693647</v>
      </c>
      <c r="D67" s="15">
        <v>570</v>
      </c>
      <c r="E67" s="14">
        <v>62.199065179999998</v>
      </c>
      <c r="F67" s="16">
        <v>2.2560382899999998</v>
      </c>
      <c r="G67" s="14">
        <v>37.800934820000002</v>
      </c>
      <c r="H67" s="16">
        <v>2.2560382899999998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(2575/B70*100)</f>
        <v>82.877373672352746</v>
      </c>
      <c r="D70" s="15">
        <v>532</v>
      </c>
      <c r="E70" s="14">
        <v>57.338785829999999</v>
      </c>
      <c r="F70" s="16">
        <v>2.3225511399999998</v>
      </c>
      <c r="G70" s="14">
        <v>42.661214170000001</v>
      </c>
      <c r="H70" s="16">
        <v>2.3225511399999998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43.834696289999997</v>
      </c>
      <c r="F72" s="16">
        <v>2.1237713500000002</v>
      </c>
      <c r="G72" s="14">
        <v>56.165303710000003</v>
      </c>
      <c r="H72" s="16">
        <v>2.1237713500000002</v>
      </c>
      <c r="I72" s="14" t="s">
        <v>139</v>
      </c>
      <c r="J72" s="16" t="s">
        <v>139</v>
      </c>
      <c r="K72" s="14">
        <v>0</v>
      </c>
      <c r="L72" s="16">
        <v>0</v>
      </c>
      <c r="M72" s="14">
        <v>0</v>
      </c>
      <c r="N72" s="16">
        <v>0</v>
      </c>
      <c r="O72" s="14">
        <v>0</v>
      </c>
      <c r="P72" s="16">
        <v>0</v>
      </c>
      <c r="Q72" s="14">
        <v>0</v>
      </c>
      <c r="R72" s="16">
        <v>0</v>
      </c>
    </row>
    <row r="73" spans="1:18" x14ac:dyDescent="0.25">
      <c r="A73" s="11" t="s">
        <v>206</v>
      </c>
      <c r="B73" s="13">
        <v>4652</v>
      </c>
      <c r="C73" s="14">
        <f>(3893/B73*100)</f>
        <v>83.684436801375753</v>
      </c>
      <c r="D73" s="15">
        <v>759</v>
      </c>
      <c r="E73" s="14">
        <v>67.162164720000007</v>
      </c>
      <c r="F73" s="16">
        <v>2.0211299199999999</v>
      </c>
      <c r="G73" s="14">
        <v>32.83783528</v>
      </c>
      <c r="H73" s="16">
        <v>2.0211299199999999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(2476/B75*100)</f>
        <v>83.395082519366795</v>
      </c>
      <c r="D75" s="15">
        <v>493</v>
      </c>
      <c r="E75" s="14">
        <v>67.168234720000001</v>
      </c>
      <c r="F75" s="16">
        <v>1.99455128</v>
      </c>
      <c r="G75" s="14">
        <v>32.831765279999999</v>
      </c>
      <c r="H75" s="16">
        <v>1.99455128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53.175021899999997</v>
      </c>
      <c r="F76" s="16">
        <v>1.71969379</v>
      </c>
      <c r="G76" s="14">
        <v>46.824978100000003</v>
      </c>
      <c r="H76" s="16">
        <v>1.71969379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(2610/B77*100)</f>
        <v>82.752060875079266</v>
      </c>
      <c r="D77" s="15">
        <v>544</v>
      </c>
      <c r="E77" s="14">
        <v>63.307741300000004</v>
      </c>
      <c r="F77" s="16">
        <v>2.0610919999999999</v>
      </c>
      <c r="G77" s="14">
        <v>36.692258699999996</v>
      </c>
      <c r="H77" s="16">
        <v>2.0610919999999999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46.218398520000001</v>
      </c>
      <c r="F81" s="16">
        <v>2.2942832200000001</v>
      </c>
      <c r="G81" s="14">
        <v>53.781601479999999</v>
      </c>
      <c r="H81" s="16">
        <v>2.2942832200000001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(5955/B7*100)</f>
        <v>83.135557727209275</v>
      </c>
      <c r="D7" s="15">
        <v>1208</v>
      </c>
      <c r="E7" s="14">
        <v>20.055701559999999</v>
      </c>
      <c r="F7" s="16">
        <v>1.29183907</v>
      </c>
      <c r="G7" s="14">
        <v>79.944298439999997</v>
      </c>
      <c r="H7" s="16">
        <v>1.29183907</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24.207997339999999</v>
      </c>
      <c r="F8" s="16">
        <v>2.0359471999999998</v>
      </c>
      <c r="G8" s="14">
        <v>75.792002659999994</v>
      </c>
      <c r="H8" s="16">
        <v>2.0359471999999998</v>
      </c>
      <c r="I8" s="14" t="s">
        <v>139</v>
      </c>
      <c r="J8" s="16" t="s">
        <v>139</v>
      </c>
      <c r="K8" s="14">
        <v>0</v>
      </c>
      <c r="L8" s="16">
        <v>0</v>
      </c>
      <c r="M8" s="14">
        <v>0</v>
      </c>
      <c r="N8" s="16">
        <v>0</v>
      </c>
      <c r="O8" s="14">
        <v>0</v>
      </c>
      <c r="P8" s="16">
        <v>0</v>
      </c>
      <c r="Q8" s="14">
        <v>0</v>
      </c>
      <c r="R8" s="16">
        <v>0</v>
      </c>
    </row>
    <row r="9" spans="1:18" x14ac:dyDescent="0.25">
      <c r="A9" s="11" t="s">
        <v>141</v>
      </c>
      <c r="B9" s="13">
        <v>4752</v>
      </c>
      <c r="C9" s="14">
        <f>(3922/B9*100)</f>
        <v>82.533670033670035</v>
      </c>
      <c r="D9" s="15">
        <v>830</v>
      </c>
      <c r="E9" s="14">
        <v>26.36087839</v>
      </c>
      <c r="F9" s="16">
        <v>1.66750227</v>
      </c>
      <c r="G9" s="14">
        <v>73.639121610000004</v>
      </c>
      <c r="H9" s="16">
        <v>1.66750227</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18.722206329999999</v>
      </c>
      <c r="F10" s="16">
        <v>1.10160225</v>
      </c>
      <c r="G10" s="14">
        <v>81.277793669999994</v>
      </c>
      <c r="H10" s="16">
        <v>1.10160225</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(2898/B11*100)</f>
        <v>82.8</v>
      </c>
      <c r="D11" s="15">
        <v>602</v>
      </c>
      <c r="E11" s="14">
        <v>37.053323800000001</v>
      </c>
      <c r="F11" s="16">
        <v>1.87371618</v>
      </c>
      <c r="G11" s="14">
        <v>62.946676199999999</v>
      </c>
      <c r="H11" s="16">
        <v>1.87371618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(2850/B12*100)</f>
        <v>83.284628872004674</v>
      </c>
      <c r="D12" s="15">
        <v>572</v>
      </c>
      <c r="E12" s="14">
        <v>18.36857513</v>
      </c>
      <c r="F12" s="16">
        <v>1.89473479</v>
      </c>
      <c r="G12" s="14">
        <v>81.631424870000004</v>
      </c>
      <c r="H12" s="16">
        <v>1.89473479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(3014/B13*100)</f>
        <v>83.67573570238757</v>
      </c>
      <c r="D13" s="15">
        <v>588</v>
      </c>
      <c r="E13" s="14">
        <v>23.096161210000002</v>
      </c>
      <c r="F13" s="16">
        <v>2.1525338999999999</v>
      </c>
      <c r="G13" s="14">
        <v>76.903838789999995</v>
      </c>
      <c r="H13" s="16">
        <v>2.1525338999999999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(2314/B14*100)</f>
        <v>82.998565279770446</v>
      </c>
      <c r="D14" s="15">
        <v>474</v>
      </c>
      <c r="E14" s="14">
        <v>14.79905804</v>
      </c>
      <c r="F14" s="16">
        <v>1.76105764</v>
      </c>
      <c r="G14" s="14">
        <v>85.200941959999994</v>
      </c>
      <c r="H14" s="16">
        <v>1.76105764</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(2383/B15*100)</f>
        <v>83.234369542438003</v>
      </c>
      <c r="D15" s="15">
        <v>480</v>
      </c>
      <c r="E15" s="14">
        <v>16.962768459999999</v>
      </c>
      <c r="F15" s="16">
        <v>1.6238882800000001</v>
      </c>
      <c r="G15" s="14">
        <v>83.037231539999993</v>
      </c>
      <c r="H15" s="16">
        <v>1.6238882800000001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27.37164009</v>
      </c>
      <c r="F16" s="16">
        <v>1.77599258</v>
      </c>
      <c r="G16" s="14">
        <v>72.62835991</v>
      </c>
      <c r="H16" s="16">
        <v>1.77599258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(2642/B17*100)</f>
        <v>82.639974976540515</v>
      </c>
      <c r="D17" s="15">
        <v>555</v>
      </c>
      <c r="E17" s="14">
        <v>18.117974010000001</v>
      </c>
      <c r="F17" s="16">
        <v>1.50308335</v>
      </c>
      <c r="G17" s="14">
        <v>81.882025990000002</v>
      </c>
      <c r="H17" s="16">
        <v>1.50308335</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28.475506060000001</v>
      </c>
      <c r="F18" s="16">
        <v>2.4692599099999999</v>
      </c>
      <c r="G18" s="14">
        <v>71.524493939999999</v>
      </c>
      <c r="H18" s="16">
        <v>2.4692599099999999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(2367/B19*100)</f>
        <v>83.05263157894737</v>
      </c>
      <c r="D19" s="15">
        <v>483</v>
      </c>
      <c r="E19" s="14">
        <v>30.926921910000001</v>
      </c>
      <c r="F19" s="16">
        <v>2.3754792400000002</v>
      </c>
      <c r="G19" s="14">
        <v>69.073078089999996</v>
      </c>
      <c r="H19" s="16">
        <v>2.3754792400000002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43.070902660000002</v>
      </c>
      <c r="F20" s="16">
        <v>2.8023795200000001</v>
      </c>
      <c r="G20" s="14">
        <v>56.929097339999998</v>
      </c>
      <c r="H20" s="16">
        <v>2.8023795200000001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32.904381880000003</v>
      </c>
      <c r="F22" s="16">
        <v>2.1720221</v>
      </c>
      <c r="G22" s="14">
        <v>67.095618119999997</v>
      </c>
      <c r="H22" s="16">
        <v>2.1720221</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31.747426340000001</v>
      </c>
      <c r="F23" s="16">
        <v>2.4870504800000002</v>
      </c>
      <c r="G23" s="14">
        <v>68.252573659999996</v>
      </c>
      <c r="H23" s="16">
        <v>2.4870504800000002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(2743/B24*100)</f>
        <v>82.895134481716525</v>
      </c>
      <c r="D24" s="15">
        <v>566</v>
      </c>
      <c r="E24" s="14">
        <v>13.535556939999999</v>
      </c>
      <c r="F24" s="16">
        <v>1.52907499</v>
      </c>
      <c r="G24" s="14">
        <v>86.464443059999994</v>
      </c>
      <c r="H24" s="16">
        <v>1.52907499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10.591324289999999</v>
      </c>
      <c r="F25" s="16">
        <v>1.40216707</v>
      </c>
      <c r="G25" s="14">
        <v>89.408675709999997</v>
      </c>
      <c r="H25" s="16">
        <v>1.40216707</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19.835623980000001</v>
      </c>
      <c r="F26" s="16">
        <v>1.92261149</v>
      </c>
      <c r="G26" s="14">
        <v>80.164376020000006</v>
      </c>
      <c r="H26" s="16">
        <v>1.92261149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(2223/B27*100)</f>
        <v>82.855013045098772</v>
      </c>
      <c r="D27" s="15">
        <v>460</v>
      </c>
      <c r="E27" s="14">
        <v>25.22110185</v>
      </c>
      <c r="F27" s="16">
        <v>2.0439584700000002</v>
      </c>
      <c r="G27" s="14">
        <v>74.778898150000003</v>
      </c>
      <c r="H27" s="16">
        <v>2.0439584700000002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(3201/B28*100)</f>
        <v>84.170391795950565</v>
      </c>
      <c r="D28" s="15">
        <v>602</v>
      </c>
      <c r="E28" s="14">
        <v>43.44984212</v>
      </c>
      <c r="F28" s="16">
        <v>1.9357138599999999</v>
      </c>
      <c r="G28" s="14">
        <v>56.55015788</v>
      </c>
      <c r="H28" s="16">
        <v>1.9357138599999999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23.631823959999998</v>
      </c>
      <c r="F29" s="16">
        <v>2.1415202799999999</v>
      </c>
      <c r="G29" s="14">
        <v>76.368176039999994</v>
      </c>
      <c r="H29" s="16">
        <v>2.1415202799999999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15.91450631</v>
      </c>
      <c r="F30" s="16">
        <v>1.7283440000000001</v>
      </c>
      <c r="G30" s="14">
        <v>84.085493690000007</v>
      </c>
      <c r="H30" s="16">
        <v>1.7283440000000001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(2246/B31*100)</f>
        <v>83.000739098300073</v>
      </c>
      <c r="D31" s="15">
        <v>460</v>
      </c>
      <c r="E31" s="14">
        <v>23.144589230000001</v>
      </c>
      <c r="F31" s="16">
        <v>2.0290291100000002</v>
      </c>
      <c r="G31" s="14">
        <v>76.855410770000006</v>
      </c>
      <c r="H31" s="16">
        <v>2.0290291100000002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33.496153</v>
      </c>
      <c r="F33" s="16">
        <v>2.4113169499999998</v>
      </c>
      <c r="G33" s="14">
        <v>66.503846999999993</v>
      </c>
      <c r="H33" s="16">
        <v>2.4113169499999998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(2536/B34*100)</f>
        <v>83.558484349258649</v>
      </c>
      <c r="D34" s="15">
        <v>499</v>
      </c>
      <c r="E34" s="14">
        <v>32.375192290000001</v>
      </c>
      <c r="F34" s="16">
        <v>2.4854715600000001</v>
      </c>
      <c r="G34" s="14">
        <v>67.624807709999999</v>
      </c>
      <c r="H34" s="16">
        <v>2.4854715600000001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(2394/B35*100)</f>
        <v>82.523267838676318</v>
      </c>
      <c r="D35" s="15">
        <v>507</v>
      </c>
      <c r="E35" s="14">
        <v>26.659250230000001</v>
      </c>
      <c r="F35" s="16">
        <v>2.2559711500000001</v>
      </c>
      <c r="G35" s="14">
        <v>73.340749770000002</v>
      </c>
      <c r="H35" s="16">
        <v>2.2559711500000001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(2821/B36*100)</f>
        <v>82.873090481786136</v>
      </c>
      <c r="D36" s="15">
        <v>583</v>
      </c>
      <c r="E36" s="14">
        <v>27.974581990000001</v>
      </c>
      <c r="F36" s="16">
        <v>1.8857707699999999</v>
      </c>
      <c r="G36" s="14">
        <v>72.025418009999996</v>
      </c>
      <c r="H36" s="16">
        <v>1.8857707699999999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(2296/B37*100)</f>
        <v>84.071768582936656</v>
      </c>
      <c r="D37" s="15">
        <v>435</v>
      </c>
      <c r="E37" s="14">
        <v>16.614598449999999</v>
      </c>
      <c r="F37" s="16">
        <v>1.68009381</v>
      </c>
      <c r="G37" s="14">
        <v>83.385401549999997</v>
      </c>
      <c r="H37" s="16">
        <v>1.68009381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40.371578890000002</v>
      </c>
      <c r="F39" s="16">
        <v>2.3015022200000002</v>
      </c>
      <c r="G39" s="14">
        <v>59.628421109999998</v>
      </c>
      <c r="H39" s="16">
        <v>2.3015022200000002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21.248004139999999</v>
      </c>
      <c r="F40" s="16">
        <v>1.7617064899999999</v>
      </c>
      <c r="G40" s="14">
        <v>78.751995859999994</v>
      </c>
      <c r="H40" s="16">
        <v>1.7617064899999999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(2366/B41*100)</f>
        <v>82.90119131044149</v>
      </c>
      <c r="D41" s="15">
        <v>488</v>
      </c>
      <c r="E41" s="14">
        <v>22.604904829999999</v>
      </c>
      <c r="F41" s="16">
        <v>2.0869219800000001</v>
      </c>
      <c r="G41" s="14">
        <v>77.395095170000005</v>
      </c>
      <c r="H41" s="16">
        <v>2.0869219800000001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83.015206752250464</v>
      </c>
      <c r="D42" s="15">
        <f>IF(COUNT(D7:D41) &gt; 0, AVERAGE(D7:D41), "—")</f>
        <v>615.34375</v>
      </c>
      <c r="E42" s="14">
        <f>IF(COUNT(E7:E41) &gt; 0, AVERAGE(E7:E41), "—")</f>
        <v>25.278439240937502</v>
      </c>
      <c r="F42" s="16">
        <f>IF(COUNT(F7:F41) &gt; 0, SQRT(SUMSQ(F7:F41)/(COUNT(F7:F41)*COUNT(F7:F41)) ), "—")</f>
        <v>0.35220037712886088</v>
      </c>
      <c r="G42" s="14">
        <f>IF(COUNT(G7:G41) &gt; 0, AVERAGE(G7:G41), "—")</f>
        <v>74.721560759062484</v>
      </c>
      <c r="H42" s="16">
        <f>IF(COUNT(H7:H41) &gt; 0, SQRT(SUMSQ(H7:H41)/(COUNT(H7:H41)*COUNT(H7:H41)) ), "—")</f>
        <v>0.35220037712886088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(10241/B46*100)</f>
        <v>84.825643999006047</v>
      </c>
      <c r="D46" s="15">
        <v>1832</v>
      </c>
      <c r="E46" s="14">
        <v>60.655576779999997</v>
      </c>
      <c r="F46" s="16">
        <v>1.747368</v>
      </c>
      <c r="G46" s="14">
        <v>39.344423220000003</v>
      </c>
      <c r="H46" s="16">
        <v>1.747368</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(2359/B47*100)</f>
        <v>83.563584838823942</v>
      </c>
      <c r="D47" s="15">
        <v>464</v>
      </c>
      <c r="E47" s="14">
        <v>39.224165569999997</v>
      </c>
      <c r="F47" s="16">
        <v>2.3224815099999998</v>
      </c>
      <c r="G47" s="14">
        <v>60.775834430000003</v>
      </c>
      <c r="H47" s="16">
        <v>2.3224815099999998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(3862/B48*100)</f>
        <v>82.486117043998291</v>
      </c>
      <c r="D48" s="15">
        <v>820</v>
      </c>
      <c r="E48" s="14">
        <v>22.821236280000001</v>
      </c>
      <c r="F48" s="16">
        <v>2.1925582600000002</v>
      </c>
      <c r="G48" s="14">
        <v>77.178763720000006</v>
      </c>
      <c r="H48" s="16">
        <v>2.1925582600000002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(5126/B50*100)</f>
        <v>83.241312114322824</v>
      </c>
      <c r="D50" s="15">
        <v>1032</v>
      </c>
      <c r="E50" s="14">
        <v>51.443312890000001</v>
      </c>
      <c r="F50" s="16">
        <v>2.2238963200000001</v>
      </c>
      <c r="G50" s="14">
        <v>48.556687109999999</v>
      </c>
      <c r="H50" s="16">
        <v>2.2238963200000001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(2980/B51*100)</f>
        <v>85.289066971951925</v>
      </c>
      <c r="D51" s="15">
        <v>514</v>
      </c>
      <c r="E51" s="14">
        <v>52.055391010000001</v>
      </c>
      <c r="F51" s="16">
        <v>2.4827257700000001</v>
      </c>
      <c r="G51" s="14">
        <v>47.944608989999999</v>
      </c>
      <c r="H51" s="16">
        <v>2.4827257700000001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25.8160867</v>
      </c>
      <c r="F52" s="16">
        <v>1.9781700799999999</v>
      </c>
      <c r="G52" s="14">
        <v>74.1839133</v>
      </c>
      <c r="H52" s="16">
        <v>1.9781700799999999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(2274/B53*100)</f>
        <v>82.391304347826093</v>
      </c>
      <c r="D53" s="15">
        <v>486</v>
      </c>
      <c r="E53" s="14">
        <v>32.372854660000002</v>
      </c>
      <c r="F53" s="16">
        <v>2.23197483</v>
      </c>
      <c r="G53" s="14">
        <v>67.627145339999998</v>
      </c>
      <c r="H53" s="16">
        <v>2.23197483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16.2137113</v>
      </c>
      <c r="F56" s="16">
        <v>1.6268317800000001</v>
      </c>
      <c r="G56" s="14">
        <v>83.7862887</v>
      </c>
      <c r="H56" s="16">
        <v>1.6268317800000001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29.377831960000002</v>
      </c>
      <c r="F61" s="16">
        <v>2.05547565</v>
      </c>
      <c r="G61" s="14">
        <v>70.622168040000005</v>
      </c>
      <c r="H61" s="16">
        <v>2.05547565</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(1839/B62*100)</f>
        <v>82.466367713004487</v>
      </c>
      <c r="D62" s="15">
        <v>391</v>
      </c>
      <c r="E62" s="14">
        <v>14.87480223</v>
      </c>
      <c r="F62" s="16">
        <v>1.9982232099999999</v>
      </c>
      <c r="G62" s="14">
        <v>85.12519777</v>
      </c>
      <c r="H62" s="16">
        <v>1.9982232099999999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39.003651259999998</v>
      </c>
      <c r="F66" s="16">
        <v>2.4514884600000002</v>
      </c>
      <c r="G66" s="14">
        <v>60.996348740000002</v>
      </c>
      <c r="H66" s="16">
        <v>2.4514884600000002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(2890/B67*100)</f>
        <v>83.526011560693647</v>
      </c>
      <c r="D67" s="15">
        <v>570</v>
      </c>
      <c r="E67" s="14">
        <v>50.380208670000002</v>
      </c>
      <c r="F67" s="16">
        <v>2.4073107299999998</v>
      </c>
      <c r="G67" s="14">
        <v>49.619791329999998</v>
      </c>
      <c r="H67" s="16">
        <v>2.4073107299999998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(2575/B70*100)</f>
        <v>82.877373672352746</v>
      </c>
      <c r="D70" s="15">
        <v>532</v>
      </c>
      <c r="E70" s="14">
        <v>35.52172238</v>
      </c>
      <c r="F70" s="16">
        <v>2.3737065899999998</v>
      </c>
      <c r="G70" s="14">
        <v>64.47827762</v>
      </c>
      <c r="H70" s="16">
        <v>2.3737065899999998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18.798158239999999</v>
      </c>
      <c r="F72" s="16">
        <v>1.2486575799999999</v>
      </c>
      <c r="G72" s="14">
        <v>81.201841759999994</v>
      </c>
      <c r="H72" s="16">
        <v>1.2486575799999999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(3893/B73*100)</f>
        <v>83.684436801375753</v>
      </c>
      <c r="D73" s="15">
        <v>759</v>
      </c>
      <c r="E73" s="14">
        <v>50.397775809999999</v>
      </c>
      <c r="F73" s="16">
        <v>2.5572931099999998</v>
      </c>
      <c r="G73" s="14">
        <v>49.602224190000001</v>
      </c>
      <c r="H73" s="16">
        <v>2.5572931099999998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(2476/B75*100)</f>
        <v>83.395082519366795</v>
      </c>
      <c r="D75" s="15">
        <v>493</v>
      </c>
      <c r="E75" s="14">
        <v>63.068162559999998</v>
      </c>
      <c r="F75" s="16">
        <v>1.89528808</v>
      </c>
      <c r="G75" s="14">
        <v>36.931837440000002</v>
      </c>
      <c r="H75" s="16">
        <v>1.89528808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42.607190410000001</v>
      </c>
      <c r="F76" s="16">
        <v>2.357551</v>
      </c>
      <c r="G76" s="14">
        <v>57.392809589999999</v>
      </c>
      <c r="H76" s="16">
        <v>2.357551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(2610/B77*100)</f>
        <v>82.752060875079266</v>
      </c>
      <c r="D77" s="15">
        <v>544</v>
      </c>
      <c r="E77" s="14">
        <v>43.55123459</v>
      </c>
      <c r="F77" s="16">
        <v>2.3286102099999999</v>
      </c>
      <c r="G77" s="14">
        <v>56.44876541</v>
      </c>
      <c r="H77" s="16">
        <v>2.3286102099999999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43.296095479999998</v>
      </c>
      <c r="F81" s="16">
        <v>2.1114351400000002</v>
      </c>
      <c r="G81" s="14">
        <v>56.703904520000002</v>
      </c>
      <c r="H81" s="16">
        <v>2.1114351400000002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(5955/B7*100)</f>
        <v>83.135557727209275</v>
      </c>
      <c r="D7" s="15">
        <v>1208</v>
      </c>
      <c r="E7" s="14">
        <v>27.29940186</v>
      </c>
      <c r="F7" s="16">
        <v>1.5688520399999999</v>
      </c>
      <c r="G7" s="14">
        <v>72.700598139999997</v>
      </c>
      <c r="H7" s="16">
        <v>1.5688520399999999</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33.965051979999998</v>
      </c>
      <c r="F8" s="16">
        <v>2.2463382200000002</v>
      </c>
      <c r="G8" s="14">
        <v>66.034948020000002</v>
      </c>
      <c r="H8" s="16">
        <v>2.2463382200000002</v>
      </c>
      <c r="I8" s="14" t="s">
        <v>139</v>
      </c>
      <c r="J8" s="16" t="s">
        <v>139</v>
      </c>
      <c r="K8" s="14">
        <v>0</v>
      </c>
      <c r="L8" s="16">
        <v>0</v>
      </c>
      <c r="M8" s="14">
        <v>0</v>
      </c>
      <c r="N8" s="16">
        <v>0</v>
      </c>
      <c r="O8" s="14">
        <v>0</v>
      </c>
      <c r="P8" s="16">
        <v>0</v>
      </c>
      <c r="Q8" s="14">
        <v>0</v>
      </c>
      <c r="R8" s="16">
        <v>0</v>
      </c>
    </row>
    <row r="9" spans="1:18" x14ac:dyDescent="0.25">
      <c r="A9" s="11" t="s">
        <v>141</v>
      </c>
      <c r="B9" s="13">
        <v>4752</v>
      </c>
      <c r="C9" s="14">
        <f>(3922/B9*100)</f>
        <v>82.533670033670035</v>
      </c>
      <c r="D9" s="15">
        <v>830</v>
      </c>
      <c r="E9" s="14">
        <v>35.933244459999997</v>
      </c>
      <c r="F9" s="16">
        <v>1.59815843</v>
      </c>
      <c r="G9" s="14">
        <v>64.066755540000003</v>
      </c>
      <c r="H9" s="16">
        <v>1.59815843</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28.111642580000002</v>
      </c>
      <c r="F10" s="16">
        <v>1.3326929599999999</v>
      </c>
      <c r="G10" s="14">
        <v>71.888357420000006</v>
      </c>
      <c r="H10" s="16">
        <v>1.3326929599999999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(2898/B11*100)</f>
        <v>82.8</v>
      </c>
      <c r="D11" s="15">
        <v>602</v>
      </c>
      <c r="E11" s="14">
        <v>45.179519110000001</v>
      </c>
      <c r="F11" s="16">
        <v>2.2247045700000001</v>
      </c>
      <c r="G11" s="14">
        <v>54.820480889999999</v>
      </c>
      <c r="H11" s="16">
        <v>2.2247045700000001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(2850/B12*100)</f>
        <v>83.284628872004674</v>
      </c>
      <c r="D12" s="15">
        <v>572</v>
      </c>
      <c r="E12" s="14">
        <v>24.41216369</v>
      </c>
      <c r="F12" s="16">
        <v>2.0851365500000001</v>
      </c>
      <c r="G12" s="14">
        <v>75.58783631</v>
      </c>
      <c r="H12" s="16">
        <v>2.0851365500000001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(3014/B13*100)</f>
        <v>83.67573570238757</v>
      </c>
      <c r="D13" s="15">
        <v>588</v>
      </c>
      <c r="E13" s="14">
        <v>23.22746145</v>
      </c>
      <c r="F13" s="16">
        <v>1.97592258</v>
      </c>
      <c r="G13" s="14">
        <v>76.772538549999993</v>
      </c>
      <c r="H13" s="16">
        <v>1.97592258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(2314/B14*100)</f>
        <v>82.998565279770446</v>
      </c>
      <c r="D14" s="15">
        <v>474</v>
      </c>
      <c r="E14" s="14">
        <v>26.391313319999998</v>
      </c>
      <c r="F14" s="16">
        <v>2.2431741500000002</v>
      </c>
      <c r="G14" s="14">
        <v>73.608686680000005</v>
      </c>
      <c r="H14" s="16">
        <v>2.2431741500000002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(2383/B15*100)</f>
        <v>83.234369542438003</v>
      </c>
      <c r="D15" s="15">
        <v>480</v>
      </c>
      <c r="E15" s="14">
        <v>19.80530491</v>
      </c>
      <c r="F15" s="16">
        <v>1.6482621799999999</v>
      </c>
      <c r="G15" s="14">
        <v>80.194695089999996</v>
      </c>
      <c r="H15" s="16">
        <v>1.6482621799999999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36.242399210000002</v>
      </c>
      <c r="F16" s="16">
        <v>1.68086471</v>
      </c>
      <c r="G16" s="14">
        <v>63.757600789999998</v>
      </c>
      <c r="H16" s="16">
        <v>1.68086471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(2642/B17*100)</f>
        <v>82.639974976540515</v>
      </c>
      <c r="D17" s="15">
        <v>555</v>
      </c>
      <c r="E17" s="14">
        <v>27.132130539999999</v>
      </c>
      <c r="F17" s="16">
        <v>2.0428228599999998</v>
      </c>
      <c r="G17" s="14">
        <v>72.867869459999994</v>
      </c>
      <c r="H17" s="16">
        <v>2.0428228599999998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34.62418083</v>
      </c>
      <c r="F18" s="16">
        <v>2.8003986599999999</v>
      </c>
      <c r="G18" s="14">
        <v>65.37581917</v>
      </c>
      <c r="H18" s="16">
        <v>2.8003986599999999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(2367/B19*100)</f>
        <v>83.05263157894737</v>
      </c>
      <c r="D19" s="15">
        <v>483</v>
      </c>
      <c r="E19" s="14">
        <v>36.764651469999997</v>
      </c>
      <c r="F19" s="16">
        <v>2.6406263299999999</v>
      </c>
      <c r="G19" s="14">
        <v>63.235348530000003</v>
      </c>
      <c r="H19" s="16">
        <v>2.6406263299999999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34.613807540000003</v>
      </c>
      <c r="F20" s="16">
        <v>3.1146022599999998</v>
      </c>
      <c r="G20" s="14">
        <v>65.386192460000004</v>
      </c>
      <c r="H20" s="16">
        <v>3.1146022599999998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37.045977559999997</v>
      </c>
      <c r="F22" s="16">
        <v>2.3350304199999998</v>
      </c>
      <c r="G22" s="14">
        <v>62.954022440000003</v>
      </c>
      <c r="H22" s="16">
        <v>2.3350304199999998</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34.209495879999999</v>
      </c>
      <c r="F23" s="16">
        <v>2.3856136499999998</v>
      </c>
      <c r="G23" s="14">
        <v>65.790504119999994</v>
      </c>
      <c r="H23" s="16">
        <v>2.3856136499999998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(2743/B24*100)</f>
        <v>82.895134481716525</v>
      </c>
      <c r="D24" s="15">
        <v>566</v>
      </c>
      <c r="E24" s="14">
        <v>17.020015180000001</v>
      </c>
      <c r="F24" s="16">
        <v>1.5766940300000001</v>
      </c>
      <c r="G24" s="14">
        <v>82.979984819999999</v>
      </c>
      <c r="H24" s="16">
        <v>1.5766940300000001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12.211388380000001</v>
      </c>
      <c r="F25" s="16">
        <v>1.5265347300000001</v>
      </c>
      <c r="G25" s="14">
        <v>87.788611619999998</v>
      </c>
      <c r="H25" s="16">
        <v>1.5265347300000001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28.503108019999999</v>
      </c>
      <c r="F26" s="16">
        <v>2.0074416799999999</v>
      </c>
      <c r="G26" s="14">
        <v>71.496891980000001</v>
      </c>
      <c r="H26" s="16">
        <v>2.0074416799999999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(2223/B27*100)</f>
        <v>82.855013045098772</v>
      </c>
      <c r="D27" s="15">
        <v>460</v>
      </c>
      <c r="E27" s="14">
        <v>37.843853129999999</v>
      </c>
      <c r="F27" s="16">
        <v>2.39236395</v>
      </c>
      <c r="G27" s="14">
        <v>62.156146870000001</v>
      </c>
      <c r="H27" s="16">
        <v>2.39236395</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(3201/B28*100)</f>
        <v>84.170391795950565</v>
      </c>
      <c r="D28" s="15">
        <v>602</v>
      </c>
      <c r="E28" s="14">
        <v>42.929787349999998</v>
      </c>
      <c r="F28" s="16">
        <v>2.3251733200000002</v>
      </c>
      <c r="G28" s="14">
        <v>57.070212650000002</v>
      </c>
      <c r="H28" s="16">
        <v>2.3251733200000002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28.204239170000001</v>
      </c>
      <c r="F29" s="16">
        <v>2.0803231100000001</v>
      </c>
      <c r="G29" s="14">
        <v>71.795760830000006</v>
      </c>
      <c r="H29" s="16">
        <v>2.0803231100000001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24.6178566</v>
      </c>
      <c r="F30" s="16">
        <v>2.5126284999999999</v>
      </c>
      <c r="G30" s="14">
        <v>75.382143400000004</v>
      </c>
      <c r="H30" s="16">
        <v>2.5126284999999999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(2246/B31*100)</f>
        <v>83.000739098300073</v>
      </c>
      <c r="D31" s="15">
        <v>460</v>
      </c>
      <c r="E31" s="14">
        <v>26.955409240000002</v>
      </c>
      <c r="F31" s="16">
        <v>1.96040265</v>
      </c>
      <c r="G31" s="14">
        <v>73.044590760000006</v>
      </c>
      <c r="H31" s="16">
        <v>1.96040265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41.593831739999999</v>
      </c>
      <c r="F33" s="16">
        <v>2.4252112800000001</v>
      </c>
      <c r="G33" s="14">
        <v>58.406168260000001</v>
      </c>
      <c r="H33" s="16">
        <v>2.4252112800000001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(2536/B34*100)</f>
        <v>83.558484349258649</v>
      </c>
      <c r="D34" s="15">
        <v>499</v>
      </c>
      <c r="E34" s="14">
        <v>33.722199529999997</v>
      </c>
      <c r="F34" s="16">
        <v>2.16095989</v>
      </c>
      <c r="G34" s="14">
        <v>66.277800470000003</v>
      </c>
      <c r="H34" s="16">
        <v>2.16095989</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(2394/B35*100)</f>
        <v>82.523267838676318</v>
      </c>
      <c r="D35" s="15">
        <v>507</v>
      </c>
      <c r="E35" s="14">
        <v>28.2759322</v>
      </c>
      <c r="F35" s="16">
        <v>2.3924641599999998</v>
      </c>
      <c r="G35" s="14">
        <v>71.7240678</v>
      </c>
      <c r="H35" s="16">
        <v>2.3924641599999998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(2821/B36*100)</f>
        <v>82.873090481786136</v>
      </c>
      <c r="D36" s="15">
        <v>583</v>
      </c>
      <c r="E36" s="14">
        <v>27.221898419999999</v>
      </c>
      <c r="F36" s="16">
        <v>1.6863325600000001</v>
      </c>
      <c r="G36" s="14">
        <v>72.778101579999998</v>
      </c>
      <c r="H36" s="16">
        <v>1.6863325600000001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(2296/B37*100)</f>
        <v>84.071768582936656</v>
      </c>
      <c r="D37" s="15">
        <v>435</v>
      </c>
      <c r="E37" s="14">
        <v>22.935348050000002</v>
      </c>
      <c r="F37" s="16">
        <v>2.0434066099999999</v>
      </c>
      <c r="G37" s="14">
        <v>77.064651949999998</v>
      </c>
      <c r="H37" s="16">
        <v>2.0434066099999999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38.420075789999999</v>
      </c>
      <c r="F39" s="16">
        <v>2.3829663999999999</v>
      </c>
      <c r="G39" s="14">
        <v>61.579924210000001</v>
      </c>
      <c r="H39" s="16">
        <v>2.3829663999999999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26.517994269999999</v>
      </c>
      <c r="F40" s="16">
        <v>1.8322234900000001</v>
      </c>
      <c r="G40" s="14">
        <v>73.482005729999997</v>
      </c>
      <c r="H40" s="16">
        <v>1.8322234900000001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(2366/B41*100)</f>
        <v>82.90119131044149</v>
      </c>
      <c r="D41" s="15">
        <v>488</v>
      </c>
      <c r="E41" s="14">
        <v>28.523015990000001</v>
      </c>
      <c r="F41" s="16">
        <v>2.3286012399999998</v>
      </c>
      <c r="G41" s="14">
        <v>71.476984009999995</v>
      </c>
      <c r="H41" s="16">
        <v>2.3286012399999998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83.015206752250464</v>
      </c>
      <c r="D42" s="15">
        <f>IF(COUNT(D7:D41) &gt; 0, AVERAGE(D7:D41), "—")</f>
        <v>615.34375</v>
      </c>
      <c r="E42" s="14">
        <f>IF(COUNT(E7:E41) &gt; 0, AVERAGE(E7:E41), "—")</f>
        <v>30.326678107812501</v>
      </c>
      <c r="F42" s="16">
        <f>IF(COUNT(F7:F41) &gt; 0, SQRT(SUMSQ(F7:F41)/(COUNT(F7:F41)*COUNT(F7:F41)) ), "—")</f>
        <v>0.37973308093612324</v>
      </c>
      <c r="G42" s="14">
        <f>IF(COUNT(G7:G41) &gt; 0, AVERAGE(G7:G41), "—")</f>
        <v>69.673321892187502</v>
      </c>
      <c r="H42" s="16">
        <f>IF(COUNT(H7:H41) &gt; 0, SQRT(SUMSQ(H7:H41)/(COUNT(H7:H41)*COUNT(H7:H41)) ), "—")</f>
        <v>0.37973308093612324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(10241/B46*100)</f>
        <v>84.825643999006047</v>
      </c>
      <c r="D46" s="15">
        <v>1832</v>
      </c>
      <c r="E46" s="14">
        <v>63.891725559999998</v>
      </c>
      <c r="F46" s="16">
        <v>1.3159408100000001</v>
      </c>
      <c r="G46" s="14">
        <v>36.108274440000002</v>
      </c>
      <c r="H46" s="16">
        <v>1.3159408100000001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(2359/B47*100)</f>
        <v>83.563584838823942</v>
      </c>
      <c r="D47" s="15">
        <v>464</v>
      </c>
      <c r="E47" s="14">
        <v>29.635691430000001</v>
      </c>
      <c r="F47" s="16">
        <v>2.14605918</v>
      </c>
      <c r="G47" s="14">
        <v>70.364308570000006</v>
      </c>
      <c r="H47" s="16">
        <v>2.14605918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(3862/B48*100)</f>
        <v>82.486117043998291</v>
      </c>
      <c r="D48" s="15">
        <v>820</v>
      </c>
      <c r="E48" s="14">
        <v>29.533118600000002</v>
      </c>
      <c r="F48" s="16">
        <v>2.5088072600000002</v>
      </c>
      <c r="G48" s="14">
        <v>70.466881400000005</v>
      </c>
      <c r="H48" s="16">
        <v>2.5088072600000002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(5126/B50*100)</f>
        <v>83.241312114322824</v>
      </c>
      <c r="D50" s="15">
        <v>1032</v>
      </c>
      <c r="E50" s="14">
        <v>51.20627606</v>
      </c>
      <c r="F50" s="16">
        <v>2.1133728000000001</v>
      </c>
      <c r="G50" s="14">
        <v>48.79372394</v>
      </c>
      <c r="H50" s="16">
        <v>2.1133728000000001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(2980/B51*100)</f>
        <v>85.289066971951925</v>
      </c>
      <c r="D51" s="15">
        <v>514</v>
      </c>
      <c r="E51" s="14">
        <v>51.613550050000001</v>
      </c>
      <c r="F51" s="16">
        <v>2.4204547299999999</v>
      </c>
      <c r="G51" s="14">
        <v>48.386449949999999</v>
      </c>
      <c r="H51" s="16">
        <v>2.4204547299999999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43.305422100000001</v>
      </c>
      <c r="F52" s="16">
        <v>2.0701291999999998</v>
      </c>
      <c r="G52" s="14">
        <v>56.694577899999999</v>
      </c>
      <c r="H52" s="16">
        <v>2.0701291999999998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(2274/B53*100)</f>
        <v>82.391304347826093</v>
      </c>
      <c r="D53" s="15">
        <v>486</v>
      </c>
      <c r="E53" s="14">
        <v>40.636476989999998</v>
      </c>
      <c r="F53" s="16">
        <v>2.3340124699999998</v>
      </c>
      <c r="G53" s="14">
        <v>59.363523010000002</v>
      </c>
      <c r="H53" s="16">
        <v>2.3340124699999998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22.505276110000001</v>
      </c>
      <c r="F56" s="16">
        <v>1.81734711</v>
      </c>
      <c r="G56" s="14">
        <v>77.494723890000003</v>
      </c>
      <c r="H56" s="16">
        <v>1.81734711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38.127381880000002</v>
      </c>
      <c r="F61" s="16">
        <v>2.4835484399999999</v>
      </c>
      <c r="G61" s="14">
        <v>61.872618119999998</v>
      </c>
      <c r="H61" s="16">
        <v>2.4835484399999999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(1839/B62*100)</f>
        <v>82.466367713004487</v>
      </c>
      <c r="D62" s="15">
        <v>391</v>
      </c>
      <c r="E62" s="14">
        <v>24.094870579999998</v>
      </c>
      <c r="F62" s="16">
        <v>1.9310941399999999</v>
      </c>
      <c r="G62" s="14">
        <v>75.905129419999994</v>
      </c>
      <c r="H62" s="16">
        <v>1.9310941399999999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47.921394450000001</v>
      </c>
      <c r="F66" s="16">
        <v>2.6329206200000002</v>
      </c>
      <c r="G66" s="14">
        <v>52.078605549999999</v>
      </c>
      <c r="H66" s="16">
        <v>2.6329206200000002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(2890/B67*100)</f>
        <v>83.526011560693647</v>
      </c>
      <c r="D67" s="15">
        <v>570</v>
      </c>
      <c r="E67" s="14">
        <v>52.956186529999997</v>
      </c>
      <c r="F67" s="16">
        <v>1.9774077000000001</v>
      </c>
      <c r="G67" s="14">
        <v>47.043813470000003</v>
      </c>
      <c r="H67" s="16">
        <v>1.9774077000000001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(2575/B70*100)</f>
        <v>82.877373672352746</v>
      </c>
      <c r="D70" s="15">
        <v>532</v>
      </c>
      <c r="E70" s="14">
        <v>35.217788179999999</v>
      </c>
      <c r="F70" s="16">
        <v>2.2212233000000001</v>
      </c>
      <c r="G70" s="14">
        <v>64.782211820000001</v>
      </c>
      <c r="H70" s="16">
        <v>2.2212233000000001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18.440812560000001</v>
      </c>
      <c r="F72" s="16">
        <v>1.5203268400000001</v>
      </c>
      <c r="G72" s="14">
        <v>81.559187440000002</v>
      </c>
      <c r="H72" s="16">
        <v>1.5203268400000001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(3893/B73*100)</f>
        <v>83.684436801375753</v>
      </c>
      <c r="D73" s="15">
        <v>759</v>
      </c>
      <c r="E73" s="14">
        <v>25.171272630000001</v>
      </c>
      <c r="F73" s="16">
        <v>1.7115868999999999</v>
      </c>
      <c r="G73" s="14">
        <v>74.828727369999996</v>
      </c>
      <c r="H73" s="16">
        <v>1.7115868999999999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(2476/B75*100)</f>
        <v>83.395082519366795</v>
      </c>
      <c r="D75" s="15">
        <v>493</v>
      </c>
      <c r="E75" s="14">
        <v>73.677757209999996</v>
      </c>
      <c r="F75" s="16">
        <v>1.96484879</v>
      </c>
      <c r="G75" s="14">
        <v>26.322242790000001</v>
      </c>
      <c r="H75" s="16">
        <v>1.96484879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43.782167319999999</v>
      </c>
      <c r="F76" s="16">
        <v>2.0094215499999999</v>
      </c>
      <c r="G76" s="14">
        <v>56.217832680000001</v>
      </c>
      <c r="H76" s="16">
        <v>2.0094215499999999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(2610/B77*100)</f>
        <v>82.752060875079266</v>
      </c>
      <c r="D77" s="15">
        <v>544</v>
      </c>
      <c r="E77" s="14">
        <v>45.950297939999999</v>
      </c>
      <c r="F77" s="16">
        <v>2.20304411</v>
      </c>
      <c r="G77" s="14">
        <v>54.049702060000001</v>
      </c>
      <c r="H77" s="16">
        <v>2.20304411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43.87292214</v>
      </c>
      <c r="F81" s="16">
        <v>2.15813313</v>
      </c>
      <c r="G81" s="14">
        <v>56.12707786</v>
      </c>
      <c r="H81" s="16">
        <v>2.15813313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(5955/B7*100)</f>
        <v>83.135557727209275</v>
      </c>
      <c r="D7" s="15">
        <v>1208</v>
      </c>
      <c r="E7" s="14">
        <v>32.090850519999996</v>
      </c>
      <c r="F7" s="16">
        <v>1.51357772</v>
      </c>
      <c r="G7" s="14">
        <v>67.909149479999996</v>
      </c>
      <c r="H7" s="16">
        <v>1.51357772</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41.774218480000002</v>
      </c>
      <c r="F8" s="16">
        <v>2.2546415199999998</v>
      </c>
      <c r="G8" s="14">
        <v>58.225781519999998</v>
      </c>
      <c r="H8" s="16">
        <v>2.2546415199999998</v>
      </c>
      <c r="I8" s="14" t="s">
        <v>139</v>
      </c>
      <c r="J8" s="16" t="s">
        <v>139</v>
      </c>
      <c r="K8" s="14">
        <v>0</v>
      </c>
      <c r="L8" s="16">
        <v>0</v>
      </c>
      <c r="M8" s="14">
        <v>0</v>
      </c>
      <c r="N8" s="16">
        <v>0</v>
      </c>
      <c r="O8" s="14">
        <v>0</v>
      </c>
      <c r="P8" s="16">
        <v>0</v>
      </c>
      <c r="Q8" s="14">
        <v>0</v>
      </c>
      <c r="R8" s="16">
        <v>0</v>
      </c>
    </row>
    <row r="9" spans="1:18" x14ac:dyDescent="0.25">
      <c r="A9" s="11" t="s">
        <v>141</v>
      </c>
      <c r="B9" s="13">
        <v>4752</v>
      </c>
      <c r="C9" s="14">
        <f>(3922/B9*100)</f>
        <v>82.533670033670035</v>
      </c>
      <c r="D9" s="15">
        <v>830</v>
      </c>
      <c r="E9" s="14">
        <v>26.86788687</v>
      </c>
      <c r="F9" s="16">
        <v>1.55733513</v>
      </c>
      <c r="G9" s="14">
        <v>73.132113129999993</v>
      </c>
      <c r="H9" s="16">
        <v>1.55733513</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23.450965249999999</v>
      </c>
      <c r="F10" s="16">
        <v>1.36939744</v>
      </c>
      <c r="G10" s="14">
        <v>76.549034750000004</v>
      </c>
      <c r="H10" s="16">
        <v>1.36939744</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(2898/B11*100)</f>
        <v>82.8</v>
      </c>
      <c r="D11" s="15">
        <v>602</v>
      </c>
      <c r="E11" s="14">
        <v>32.536246669999997</v>
      </c>
      <c r="F11" s="16">
        <v>2.3306588100000001</v>
      </c>
      <c r="G11" s="14">
        <v>67.463753330000003</v>
      </c>
      <c r="H11" s="16">
        <v>2.3306588100000001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(2850/B12*100)</f>
        <v>83.284628872004674</v>
      </c>
      <c r="D12" s="15">
        <v>572</v>
      </c>
      <c r="E12" s="14">
        <v>32.03612467</v>
      </c>
      <c r="F12" s="16">
        <v>2.2244243099999998</v>
      </c>
      <c r="G12" s="14">
        <v>67.963875329999993</v>
      </c>
      <c r="H12" s="16">
        <v>2.2244243099999998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(3014/B13*100)</f>
        <v>83.67573570238757</v>
      </c>
      <c r="D13" s="15">
        <v>588</v>
      </c>
      <c r="E13" s="14">
        <v>33.979368399999998</v>
      </c>
      <c r="F13" s="16">
        <v>2.3190206400000002</v>
      </c>
      <c r="G13" s="14">
        <v>66.020631600000002</v>
      </c>
      <c r="H13" s="16">
        <v>2.3190206400000002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(2314/B14*100)</f>
        <v>82.998565279770446</v>
      </c>
      <c r="D14" s="15">
        <v>474</v>
      </c>
      <c r="E14" s="14">
        <v>21.08005133</v>
      </c>
      <c r="F14" s="16">
        <v>2.0222483000000002</v>
      </c>
      <c r="G14" s="14">
        <v>78.919948669999997</v>
      </c>
      <c r="H14" s="16">
        <v>2.0222483000000002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(2383/B15*100)</f>
        <v>83.234369542438003</v>
      </c>
      <c r="D15" s="15">
        <v>480</v>
      </c>
      <c r="E15" s="14">
        <v>28.88344974</v>
      </c>
      <c r="F15" s="16">
        <v>1.96398505</v>
      </c>
      <c r="G15" s="14">
        <v>71.116550259999997</v>
      </c>
      <c r="H15" s="16">
        <v>1.96398505</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21.98631116</v>
      </c>
      <c r="F16" s="16">
        <v>2.0593514900000001</v>
      </c>
      <c r="G16" s="14">
        <v>78.01368884</v>
      </c>
      <c r="H16" s="16">
        <v>2.0593514900000001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(2642/B17*100)</f>
        <v>82.639974976540515</v>
      </c>
      <c r="D17" s="15">
        <v>555</v>
      </c>
      <c r="E17" s="14">
        <v>33.483700579999997</v>
      </c>
      <c r="F17" s="16">
        <v>2.1554508000000001</v>
      </c>
      <c r="G17" s="14">
        <v>66.516299419999996</v>
      </c>
      <c r="H17" s="16">
        <v>2.1554508000000001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42.573636890000003</v>
      </c>
      <c r="F18" s="16">
        <v>2.2203058800000002</v>
      </c>
      <c r="G18" s="14">
        <v>57.426363109999997</v>
      </c>
      <c r="H18" s="16">
        <v>2.2203058800000002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(2367/B19*100)</f>
        <v>83.05263157894737</v>
      </c>
      <c r="D19" s="15">
        <v>483</v>
      </c>
      <c r="E19" s="14">
        <v>31.783098939999999</v>
      </c>
      <c r="F19" s="16">
        <v>2.0953616400000001</v>
      </c>
      <c r="G19" s="14">
        <v>68.216901059999998</v>
      </c>
      <c r="H19" s="16">
        <v>2.0953616400000001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34.435367020000001</v>
      </c>
      <c r="F20" s="16">
        <v>2.8976482200000002</v>
      </c>
      <c r="G20" s="14">
        <v>65.564632979999999</v>
      </c>
      <c r="H20" s="16">
        <v>2.8976482200000002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41.481975130000002</v>
      </c>
      <c r="F22" s="16">
        <v>1.9049682400000001</v>
      </c>
      <c r="G22" s="14">
        <v>58.518024869999998</v>
      </c>
      <c r="H22" s="16">
        <v>1.9049682400000001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36.107094359999998</v>
      </c>
      <c r="F23" s="16">
        <v>2.29197732</v>
      </c>
      <c r="G23" s="14">
        <v>63.892905640000002</v>
      </c>
      <c r="H23" s="16">
        <v>2.29197732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(2743/B24*100)</f>
        <v>82.895134481716525</v>
      </c>
      <c r="D24" s="15">
        <v>566</v>
      </c>
      <c r="E24" s="14">
        <v>21.53233955</v>
      </c>
      <c r="F24" s="16">
        <v>1.70147665</v>
      </c>
      <c r="G24" s="14">
        <v>78.467660449999997</v>
      </c>
      <c r="H24" s="16">
        <v>1.70147665</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18.412988349999999</v>
      </c>
      <c r="F25" s="16">
        <v>1.67132065</v>
      </c>
      <c r="G25" s="14">
        <v>81.587011649999994</v>
      </c>
      <c r="H25" s="16">
        <v>1.67132065</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33.739105840000001</v>
      </c>
      <c r="F26" s="16">
        <v>2.5375855399999998</v>
      </c>
      <c r="G26" s="14">
        <v>66.260894160000007</v>
      </c>
      <c r="H26" s="16">
        <v>2.5375855399999998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(2223/B27*100)</f>
        <v>82.855013045098772</v>
      </c>
      <c r="D27" s="15">
        <v>460</v>
      </c>
      <c r="E27" s="14">
        <v>28.150776780000001</v>
      </c>
      <c r="F27" s="16">
        <v>2.2614759599999998</v>
      </c>
      <c r="G27" s="14">
        <v>71.849223219999999</v>
      </c>
      <c r="H27" s="16">
        <v>2.2614759599999998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(3201/B28*100)</f>
        <v>84.170391795950565</v>
      </c>
      <c r="D28" s="15">
        <v>602</v>
      </c>
      <c r="E28" s="14">
        <v>32.4684496</v>
      </c>
      <c r="F28" s="16">
        <v>2.29333571</v>
      </c>
      <c r="G28" s="14">
        <v>67.5315504</v>
      </c>
      <c r="H28" s="16">
        <v>2.29333571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31.967618640000001</v>
      </c>
      <c r="F29" s="16">
        <v>2.3151903699999998</v>
      </c>
      <c r="G29" s="14">
        <v>68.032381360000002</v>
      </c>
      <c r="H29" s="16">
        <v>2.3151903699999998</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27.140132470000001</v>
      </c>
      <c r="F30" s="16">
        <v>1.9179430500000001</v>
      </c>
      <c r="G30" s="14">
        <v>72.859867530000002</v>
      </c>
      <c r="H30" s="16">
        <v>1.9179430500000001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(2246/B31*100)</f>
        <v>83.000739098300073</v>
      </c>
      <c r="D31" s="15">
        <v>460</v>
      </c>
      <c r="E31" s="14">
        <v>25.97197654</v>
      </c>
      <c r="F31" s="16">
        <v>1.9950239700000001</v>
      </c>
      <c r="G31" s="14">
        <v>74.02802346</v>
      </c>
      <c r="H31" s="16">
        <v>1.9950239700000001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29.942797850000002</v>
      </c>
      <c r="F33" s="16">
        <v>2.14640437</v>
      </c>
      <c r="G33" s="14">
        <v>70.057202149999995</v>
      </c>
      <c r="H33" s="16">
        <v>2.14640437</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(2536/B34*100)</f>
        <v>83.558484349258649</v>
      </c>
      <c r="D34" s="15">
        <v>499</v>
      </c>
      <c r="E34" s="14">
        <v>33.907277020000002</v>
      </c>
      <c r="F34" s="16">
        <v>2.17738158</v>
      </c>
      <c r="G34" s="14">
        <v>66.092722980000005</v>
      </c>
      <c r="H34" s="16">
        <v>2.17738158</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(2394/B35*100)</f>
        <v>82.523267838676318</v>
      </c>
      <c r="D35" s="15">
        <v>507</v>
      </c>
      <c r="E35" s="14">
        <v>35.307371379999999</v>
      </c>
      <c r="F35" s="16">
        <v>2.43445629</v>
      </c>
      <c r="G35" s="14">
        <v>64.692628619999994</v>
      </c>
      <c r="H35" s="16">
        <v>2.43445629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(2821/B36*100)</f>
        <v>82.873090481786136</v>
      </c>
      <c r="D36" s="15">
        <v>583</v>
      </c>
      <c r="E36" s="14">
        <v>24.504647240000001</v>
      </c>
      <c r="F36" s="16">
        <v>1.7401227500000001</v>
      </c>
      <c r="G36" s="14">
        <v>75.495352760000003</v>
      </c>
      <c r="H36" s="16">
        <v>1.7401227500000001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(2296/B37*100)</f>
        <v>84.071768582936656</v>
      </c>
      <c r="D37" s="15">
        <v>435</v>
      </c>
      <c r="E37" s="14">
        <v>33.921877930000001</v>
      </c>
      <c r="F37" s="16">
        <v>2.16521286</v>
      </c>
      <c r="G37" s="14">
        <v>66.078122070000006</v>
      </c>
      <c r="H37" s="16">
        <v>2.16521286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34.224457119999997</v>
      </c>
      <c r="F39" s="16">
        <v>2.0376323300000001</v>
      </c>
      <c r="G39" s="14">
        <v>65.775542880000003</v>
      </c>
      <c r="H39" s="16">
        <v>2.0376323300000001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24.953545040000002</v>
      </c>
      <c r="F40" s="16">
        <v>2.1298954800000001</v>
      </c>
      <c r="G40" s="14">
        <v>75.046454960000005</v>
      </c>
      <c r="H40" s="16">
        <v>2.1298954800000001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(2366/B41*100)</f>
        <v>82.90119131044149</v>
      </c>
      <c r="D41" s="15">
        <v>488</v>
      </c>
      <c r="E41" s="14">
        <v>28.624801139999999</v>
      </c>
      <c r="F41" s="16">
        <v>2.18270454</v>
      </c>
      <c r="G41" s="14">
        <v>71.375198859999998</v>
      </c>
      <c r="H41" s="16">
        <v>2.18270454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83.015206752250464</v>
      </c>
      <c r="D42" s="15">
        <f>IF(COUNT(D7:D41) &gt; 0, AVERAGE(D7:D41), "—")</f>
        <v>615.34375</v>
      </c>
      <c r="E42" s="14">
        <f>IF(COUNT(E7:E41) &gt; 0, AVERAGE(E7:E41), "—")</f>
        <v>30.603765890625002</v>
      </c>
      <c r="F42" s="16">
        <f>IF(COUNT(F7:F41) &gt; 0, SQRT(SUMSQ(F7:F41)/(COUNT(F7:F41)*COUNT(F7:F41)) ), "—")</f>
        <v>0.37347158891061277</v>
      </c>
      <c r="G42" s="14">
        <f>IF(COUNT(G7:G41) &gt; 0, AVERAGE(G7:G41), "—")</f>
        <v>69.396234109375015</v>
      </c>
      <c r="H42" s="16">
        <f>IF(COUNT(H7:H41) &gt; 0, SQRT(SUMSQ(H7:H41)/(COUNT(H7:H41)*COUNT(H7:H41)) ), "—")</f>
        <v>0.37347158891061277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(10241/B46*100)</f>
        <v>84.825643999006047</v>
      </c>
      <c r="D46" s="15">
        <v>1832</v>
      </c>
      <c r="E46" s="14">
        <v>46.835048309999998</v>
      </c>
      <c r="F46" s="16">
        <v>1.3307215699999999</v>
      </c>
      <c r="G46" s="14">
        <v>53.164951690000002</v>
      </c>
      <c r="H46" s="16">
        <v>1.3307215699999999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(2359/B47*100)</f>
        <v>83.563584838823942</v>
      </c>
      <c r="D47" s="15">
        <v>464</v>
      </c>
      <c r="E47" s="14">
        <v>37.371843980000001</v>
      </c>
      <c r="F47" s="16">
        <v>2.43894543</v>
      </c>
      <c r="G47" s="14">
        <v>62.628156019999999</v>
      </c>
      <c r="H47" s="16">
        <v>2.43894543</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(3862/B48*100)</f>
        <v>82.486117043998291</v>
      </c>
      <c r="D48" s="15">
        <v>820</v>
      </c>
      <c r="E48" s="14">
        <v>25.354362179999999</v>
      </c>
      <c r="F48" s="16">
        <v>2.3453039900000001</v>
      </c>
      <c r="G48" s="14">
        <v>74.645637820000005</v>
      </c>
      <c r="H48" s="16">
        <v>2.3453039900000001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(5126/B50*100)</f>
        <v>83.241312114322824</v>
      </c>
      <c r="D50" s="15">
        <v>1032</v>
      </c>
      <c r="E50" s="14">
        <v>34.374954750000001</v>
      </c>
      <c r="F50" s="16">
        <v>2.1310421900000001</v>
      </c>
      <c r="G50" s="14">
        <v>65.625045249999999</v>
      </c>
      <c r="H50" s="16">
        <v>2.1310421900000001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(2980/B51*100)</f>
        <v>85.289066971951925</v>
      </c>
      <c r="D51" s="15">
        <v>514</v>
      </c>
      <c r="E51" s="14">
        <v>38.067205770000001</v>
      </c>
      <c r="F51" s="16">
        <v>2.08839898</v>
      </c>
      <c r="G51" s="14">
        <v>61.932794229999999</v>
      </c>
      <c r="H51" s="16">
        <v>2.08839898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30.21342215</v>
      </c>
      <c r="F52" s="16">
        <v>1.8090984800000001</v>
      </c>
      <c r="G52" s="14">
        <v>69.78657785</v>
      </c>
      <c r="H52" s="16">
        <v>1.8090984800000001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(2274/B53*100)</f>
        <v>82.391304347826093</v>
      </c>
      <c r="D53" s="15">
        <v>486</v>
      </c>
      <c r="E53" s="14">
        <v>37.302898069999998</v>
      </c>
      <c r="F53" s="16">
        <v>2.5738514499999998</v>
      </c>
      <c r="G53" s="14">
        <v>62.697101930000002</v>
      </c>
      <c r="H53" s="16">
        <v>2.5738514499999998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28.073721410000001</v>
      </c>
      <c r="F56" s="16">
        <v>2.1532182099999999</v>
      </c>
      <c r="G56" s="14">
        <v>71.926278589999995</v>
      </c>
      <c r="H56" s="16">
        <v>2.1532182099999999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33.849017080000003</v>
      </c>
      <c r="F61" s="16">
        <v>2.0554534800000002</v>
      </c>
      <c r="G61" s="14">
        <v>66.150982920000004</v>
      </c>
      <c r="H61" s="16">
        <v>2.0554534800000002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(1839/B62*100)</f>
        <v>82.466367713004487</v>
      </c>
      <c r="D62" s="15">
        <v>391</v>
      </c>
      <c r="E62" s="14">
        <v>29.34431047</v>
      </c>
      <c r="F62" s="16">
        <v>2.02153596</v>
      </c>
      <c r="G62" s="14">
        <v>70.655689530000004</v>
      </c>
      <c r="H62" s="16">
        <v>2.02153596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40.666792399999999</v>
      </c>
      <c r="F66" s="16">
        <v>2.1761037399999998</v>
      </c>
      <c r="G66" s="14">
        <v>59.333207600000001</v>
      </c>
      <c r="H66" s="16">
        <v>2.1761037399999998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(2890/B67*100)</f>
        <v>83.526011560693647</v>
      </c>
      <c r="D67" s="15">
        <v>570</v>
      </c>
      <c r="E67" s="14">
        <v>40.548865620000001</v>
      </c>
      <c r="F67" s="16">
        <v>2.0861959300000001</v>
      </c>
      <c r="G67" s="14">
        <v>59.451134379999999</v>
      </c>
      <c r="H67" s="16">
        <v>2.0861959300000001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(2575/B70*100)</f>
        <v>82.877373672352746</v>
      </c>
      <c r="D70" s="15">
        <v>532</v>
      </c>
      <c r="E70" s="14">
        <v>25.407269769999999</v>
      </c>
      <c r="F70" s="16">
        <v>2.3011582700000002</v>
      </c>
      <c r="G70" s="14">
        <v>74.592730230000001</v>
      </c>
      <c r="H70" s="16">
        <v>2.3011582700000002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28.525390080000001</v>
      </c>
      <c r="F72" s="16">
        <v>1.6233775399999999</v>
      </c>
      <c r="G72" s="14">
        <v>71.474609920000006</v>
      </c>
      <c r="H72" s="16">
        <v>1.6233775399999999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(3893/B73*100)</f>
        <v>83.684436801375753</v>
      </c>
      <c r="D73" s="15">
        <v>759</v>
      </c>
      <c r="E73" s="14">
        <v>49.589440250000003</v>
      </c>
      <c r="F73" s="16">
        <v>1.9888078899999999</v>
      </c>
      <c r="G73" s="14">
        <v>50.410559749999997</v>
      </c>
      <c r="H73" s="16">
        <v>1.9888078899999999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(2476/B75*100)</f>
        <v>83.395082519366795</v>
      </c>
      <c r="D75" s="15">
        <v>493</v>
      </c>
      <c r="E75" s="14">
        <v>47.90342381</v>
      </c>
      <c r="F75" s="16">
        <v>2.5365092499999999</v>
      </c>
      <c r="G75" s="14">
        <v>52.09657619</v>
      </c>
      <c r="H75" s="16">
        <v>2.5365092499999999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38.991947439999997</v>
      </c>
      <c r="F76" s="16">
        <v>2.1593496499999998</v>
      </c>
      <c r="G76" s="14">
        <v>61.008052560000003</v>
      </c>
      <c r="H76" s="16">
        <v>2.1593496499999998</v>
      </c>
      <c r="I76" s="14" t="s">
        <v>139</v>
      </c>
      <c r="J76" s="16" t="s">
        <v>139</v>
      </c>
      <c r="K76" s="14">
        <v>0</v>
      </c>
      <c r="L76" s="16">
        <v>0</v>
      </c>
      <c r="M76" s="14">
        <v>0</v>
      </c>
      <c r="N76" s="16">
        <v>0</v>
      </c>
      <c r="O76" s="14">
        <v>0</v>
      </c>
      <c r="P76" s="16">
        <v>0</v>
      </c>
      <c r="Q76" s="14">
        <v>0</v>
      </c>
      <c r="R76" s="16">
        <v>0</v>
      </c>
    </row>
    <row r="77" spans="1:18" x14ac:dyDescent="0.25">
      <c r="A77" s="11" t="s">
        <v>210</v>
      </c>
      <c r="B77" s="13">
        <v>3154</v>
      </c>
      <c r="C77" s="14">
        <f>(2610/B77*100)</f>
        <v>82.752060875079266</v>
      </c>
      <c r="D77" s="15">
        <v>544</v>
      </c>
      <c r="E77" s="14">
        <v>29.97148177</v>
      </c>
      <c r="F77" s="16">
        <v>2.03952</v>
      </c>
      <c r="G77" s="14">
        <v>70.028518230000003</v>
      </c>
      <c r="H77" s="16">
        <v>2.03952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46.908438590000003</v>
      </c>
      <c r="F81" s="16">
        <v>2.1502317500000001</v>
      </c>
      <c r="G81" s="14">
        <v>53.091561409999997</v>
      </c>
      <c r="H81" s="16">
        <v>2.1502317500000001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(5955/B7*100)</f>
        <v>83.135557727209275</v>
      </c>
      <c r="D7" s="15">
        <v>1208</v>
      </c>
      <c r="E7" s="14">
        <v>12.04714766</v>
      </c>
      <c r="F7" s="16">
        <v>1.3083935099999999</v>
      </c>
      <c r="G7" s="14">
        <v>87.952852340000007</v>
      </c>
      <c r="H7" s="16">
        <v>1.3083935099999999</v>
      </c>
      <c r="I7" s="14" t="s">
        <v>139</v>
      </c>
      <c r="J7" s="16" t="s">
        <v>139</v>
      </c>
      <c r="K7" s="14">
        <v>0</v>
      </c>
      <c r="L7" s="16">
        <v>0</v>
      </c>
      <c r="M7" s="14">
        <v>0</v>
      </c>
      <c r="N7" s="16">
        <v>0</v>
      </c>
      <c r="O7" s="14">
        <v>0</v>
      </c>
      <c r="P7" s="16">
        <v>0</v>
      </c>
      <c r="Q7" s="14">
        <v>0</v>
      </c>
      <c r="R7" s="16">
        <v>0</v>
      </c>
    </row>
    <row r="8" spans="1:18" x14ac:dyDescent="0.25">
      <c r="A8" s="11" t="s">
        <v>140</v>
      </c>
      <c r="B8" s="13">
        <v>3443</v>
      </c>
      <c r="C8" s="14">
        <f>(2860/B8*100)</f>
        <v>83.067092651757193</v>
      </c>
      <c r="D8" s="15">
        <v>583</v>
      </c>
      <c r="E8" s="14">
        <v>17.459571319999998</v>
      </c>
      <c r="F8" s="16">
        <v>2.0893436699999999</v>
      </c>
      <c r="G8" s="14">
        <v>82.540428680000005</v>
      </c>
      <c r="H8" s="16">
        <v>2.0893436699999999</v>
      </c>
      <c r="I8" s="14" t="s">
        <v>139</v>
      </c>
      <c r="J8" s="16" t="s">
        <v>139</v>
      </c>
      <c r="K8" s="14">
        <v>0</v>
      </c>
      <c r="L8" s="16">
        <v>0</v>
      </c>
      <c r="M8" s="14">
        <v>0</v>
      </c>
      <c r="N8" s="16">
        <v>0</v>
      </c>
      <c r="O8" s="14">
        <v>0</v>
      </c>
      <c r="P8" s="16">
        <v>0</v>
      </c>
      <c r="Q8" s="14">
        <v>0</v>
      </c>
      <c r="R8" s="16">
        <v>0</v>
      </c>
    </row>
    <row r="9" spans="1:18" x14ac:dyDescent="0.25">
      <c r="A9" s="11" t="s">
        <v>141</v>
      </c>
      <c r="B9" s="13">
        <v>4752</v>
      </c>
      <c r="C9" s="14">
        <f>(3922/B9*100)</f>
        <v>82.533670033670035</v>
      </c>
      <c r="D9" s="15">
        <v>830</v>
      </c>
      <c r="E9" s="14">
        <v>21.85966282</v>
      </c>
      <c r="F9" s="16">
        <v>1.6262563699999999</v>
      </c>
      <c r="G9" s="14">
        <v>78.140337180000003</v>
      </c>
      <c r="H9" s="16">
        <v>1.6262563699999999</v>
      </c>
      <c r="I9" s="14" t="s">
        <v>139</v>
      </c>
      <c r="J9" s="16" t="s">
        <v>139</v>
      </c>
      <c r="K9" s="14">
        <v>0</v>
      </c>
      <c r="L9" s="16">
        <v>0</v>
      </c>
      <c r="M9" s="14">
        <v>0</v>
      </c>
      <c r="N9" s="16">
        <v>0</v>
      </c>
      <c r="O9" s="14">
        <v>0</v>
      </c>
      <c r="P9" s="16">
        <v>0</v>
      </c>
      <c r="Q9" s="14">
        <v>0</v>
      </c>
      <c r="R9" s="16">
        <v>0</v>
      </c>
    </row>
    <row r="10" spans="1:18" x14ac:dyDescent="0.25">
      <c r="A10" s="11" t="s">
        <v>142</v>
      </c>
      <c r="B10" s="13">
        <v>10022</v>
      </c>
      <c r="C10" s="14">
        <f>(8273/B10*100)</f>
        <v>82.548393534224701</v>
      </c>
      <c r="D10" s="15">
        <v>1749</v>
      </c>
      <c r="E10" s="14">
        <v>14.092499399999999</v>
      </c>
      <c r="F10" s="16">
        <v>1.07366111</v>
      </c>
      <c r="G10" s="14">
        <v>85.907500600000006</v>
      </c>
      <c r="H10" s="16">
        <v>1.07366111</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(2898/B11*100)</f>
        <v>82.8</v>
      </c>
      <c r="D11" s="15">
        <v>602</v>
      </c>
      <c r="E11" s="14">
        <v>23.77959255</v>
      </c>
      <c r="F11" s="16">
        <v>2.1436017600000001</v>
      </c>
      <c r="G11" s="14">
        <v>76.220407449999996</v>
      </c>
      <c r="H11" s="16">
        <v>2.1436017600000001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(2850/B12*100)</f>
        <v>83.284628872004674</v>
      </c>
      <c r="D12" s="15">
        <v>572</v>
      </c>
      <c r="E12" s="14">
        <v>19.406059519999999</v>
      </c>
      <c r="F12" s="16">
        <v>1.8099271699999999</v>
      </c>
      <c r="G12" s="14">
        <v>80.593940480000001</v>
      </c>
      <c r="H12" s="16">
        <v>1.8099271699999999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(3014/B13*100)</f>
        <v>83.67573570238757</v>
      </c>
      <c r="D13" s="15">
        <v>588</v>
      </c>
      <c r="E13" s="14">
        <v>13.705254549999999</v>
      </c>
      <c r="F13" s="16">
        <v>1.8805901599999999</v>
      </c>
      <c r="G13" s="14">
        <v>86.294745449999994</v>
      </c>
      <c r="H13" s="16">
        <v>1.8805901599999999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(2314/B14*100)</f>
        <v>82.998565279770446</v>
      </c>
      <c r="D14" s="15">
        <v>474</v>
      </c>
      <c r="E14" s="14">
        <v>15.389359949999999</v>
      </c>
      <c r="F14" s="16">
        <v>1.67708911</v>
      </c>
      <c r="G14" s="14">
        <v>84.610640050000001</v>
      </c>
      <c r="H14" s="16">
        <v>1.67708911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(2383/B15*100)</f>
        <v>83.234369542438003</v>
      </c>
      <c r="D15" s="15">
        <v>480</v>
      </c>
      <c r="E15" s="14">
        <v>13.565936349999999</v>
      </c>
      <c r="F15" s="16">
        <v>1.8389887199999999</v>
      </c>
      <c r="G15" s="14">
        <v>86.434063649999999</v>
      </c>
      <c r="H15" s="16">
        <v>1.8389887199999999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16.546782799999999</v>
      </c>
      <c r="F16" s="16">
        <v>1.8667634900000001</v>
      </c>
      <c r="G16" s="14">
        <v>83.453217199999997</v>
      </c>
      <c r="H16" s="16">
        <v>1.8667634900000001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(2642/B17*100)</f>
        <v>82.639974976540515</v>
      </c>
      <c r="D17" s="15">
        <v>555</v>
      </c>
      <c r="E17" s="14">
        <v>15.32657144</v>
      </c>
      <c r="F17" s="16">
        <v>1.64572545</v>
      </c>
      <c r="G17" s="14">
        <v>84.673428560000005</v>
      </c>
      <c r="H17" s="16">
        <v>1.64572545</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28.370451639999999</v>
      </c>
      <c r="F18" s="16">
        <v>2.13782585</v>
      </c>
      <c r="G18" s="14">
        <v>71.629548360000001</v>
      </c>
      <c r="H18" s="16">
        <v>2.13782585</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(2367/B19*100)</f>
        <v>83.05263157894737</v>
      </c>
      <c r="D19" s="15">
        <v>483</v>
      </c>
      <c r="E19" s="14">
        <v>23.52753993</v>
      </c>
      <c r="F19" s="16">
        <v>2.0004608099999999</v>
      </c>
      <c r="G19" s="14">
        <v>76.472460069999997</v>
      </c>
      <c r="H19" s="16">
        <v>2.0004608099999999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13.848504549999999</v>
      </c>
      <c r="F20" s="16">
        <v>1.8903945600000001</v>
      </c>
      <c r="G20" s="14">
        <v>86.151495449999999</v>
      </c>
      <c r="H20" s="16">
        <v>1.8903945600000001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26.637269320000001</v>
      </c>
      <c r="F22" s="16">
        <v>1.99764085</v>
      </c>
      <c r="G22" s="14">
        <v>73.362730679999999</v>
      </c>
      <c r="H22" s="16">
        <v>1.99764085</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17.844366650000001</v>
      </c>
      <c r="F23" s="16">
        <v>1.7546786400000001</v>
      </c>
      <c r="G23" s="14">
        <v>82.155633350000002</v>
      </c>
      <c r="H23" s="16">
        <v>1.7546786400000001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(2743/B24*100)</f>
        <v>82.895134481716525</v>
      </c>
      <c r="D24" s="15">
        <v>566</v>
      </c>
      <c r="E24" s="14">
        <v>13.578080050000001</v>
      </c>
      <c r="F24" s="16">
        <v>1.72239162</v>
      </c>
      <c r="G24" s="14">
        <v>86.421919950000003</v>
      </c>
      <c r="H24" s="16">
        <v>1.72239162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11.30033184</v>
      </c>
      <c r="F25" s="16">
        <v>1.4260160500000001</v>
      </c>
      <c r="G25" s="14">
        <v>88.699668160000002</v>
      </c>
      <c r="H25" s="16">
        <v>1.4260160500000001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21.994089689999999</v>
      </c>
      <c r="F26" s="16">
        <v>1.89774979</v>
      </c>
      <c r="G26" s="14">
        <v>78.005910310000004</v>
      </c>
      <c r="H26" s="16">
        <v>1.89774979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(2223/B27*100)</f>
        <v>82.855013045098772</v>
      </c>
      <c r="D27" s="15">
        <v>460</v>
      </c>
      <c r="E27" s="14">
        <v>18.53600054</v>
      </c>
      <c r="F27" s="16">
        <v>1.9784999999999999</v>
      </c>
      <c r="G27" s="14">
        <v>81.463999459999997</v>
      </c>
      <c r="H27" s="16">
        <v>1.9784999999999999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(3201/B28*100)</f>
        <v>84.170391795950565</v>
      </c>
      <c r="D28" s="15">
        <v>602</v>
      </c>
      <c r="E28" s="14">
        <v>20.837175760000001</v>
      </c>
      <c r="F28" s="16">
        <v>1.7308663099999999</v>
      </c>
      <c r="G28" s="14">
        <v>79.162824240000006</v>
      </c>
      <c r="H28" s="16">
        <v>1.7308663099999999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21.68070956</v>
      </c>
      <c r="F29" s="16">
        <v>1.9562334299999999</v>
      </c>
      <c r="G29" s="14">
        <v>78.319290440000003</v>
      </c>
      <c r="H29" s="16">
        <v>1.9562334299999999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10.892457800000001</v>
      </c>
      <c r="F30" s="16">
        <v>1.35090647</v>
      </c>
      <c r="G30" s="14">
        <v>89.107542199999997</v>
      </c>
      <c r="H30" s="16">
        <v>1.35090647</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(2246/B31*100)</f>
        <v>83.000739098300073</v>
      </c>
      <c r="D31" s="15">
        <v>460</v>
      </c>
      <c r="E31" s="14">
        <v>13.128882409999999</v>
      </c>
      <c r="F31" s="16">
        <v>1.4439078299999999</v>
      </c>
      <c r="G31" s="14">
        <v>86.871117589999997</v>
      </c>
      <c r="H31" s="16">
        <v>1.4439078299999999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19.31108802</v>
      </c>
      <c r="F33" s="16">
        <v>1.9057610899999999</v>
      </c>
      <c r="G33" s="14">
        <v>80.68891198</v>
      </c>
      <c r="H33" s="16">
        <v>1.9057610899999999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(2536/B34*100)</f>
        <v>83.558484349258649</v>
      </c>
      <c r="D34" s="15">
        <v>499</v>
      </c>
      <c r="E34" s="14">
        <v>19.273550100000001</v>
      </c>
      <c r="F34" s="16">
        <v>1.9854319600000001</v>
      </c>
      <c r="G34" s="14">
        <v>80.726449900000006</v>
      </c>
      <c r="H34" s="16">
        <v>1.9854319600000001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(2394/B35*100)</f>
        <v>82.523267838676318</v>
      </c>
      <c r="D35" s="15">
        <v>507</v>
      </c>
      <c r="E35" s="14">
        <v>14.542894349999999</v>
      </c>
      <c r="F35" s="16">
        <v>1.6014065900000001</v>
      </c>
      <c r="G35" s="14">
        <v>85.457105650000003</v>
      </c>
      <c r="H35" s="16">
        <v>1.6014065900000001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(2821/B36*100)</f>
        <v>82.873090481786136</v>
      </c>
      <c r="D36" s="15">
        <v>583</v>
      </c>
      <c r="E36" s="14">
        <v>19.138967319999999</v>
      </c>
      <c r="F36" s="16">
        <v>1.7610970699999999</v>
      </c>
      <c r="G36" s="14">
        <v>80.861032679999994</v>
      </c>
      <c r="H36" s="16">
        <v>1.7610970699999999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(2296/B37*100)</f>
        <v>84.071768582936656</v>
      </c>
      <c r="D37" s="15">
        <v>435</v>
      </c>
      <c r="E37" s="14">
        <v>16.31263427</v>
      </c>
      <c r="F37" s="16">
        <v>1.9713943199999999</v>
      </c>
      <c r="G37" s="14">
        <v>83.687365729999996</v>
      </c>
      <c r="H37" s="16">
        <v>1.9713943199999999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23.24833353</v>
      </c>
      <c r="F39" s="16">
        <v>1.5608133500000001</v>
      </c>
      <c r="G39" s="14">
        <v>76.751666470000004</v>
      </c>
      <c r="H39" s="16">
        <v>1.5608133500000001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(5673/B40*100)</f>
        <v>81.956082057208903</v>
      </c>
      <c r="D40" s="15">
        <v>1249</v>
      </c>
      <c r="E40" s="14">
        <v>16.595003009999999</v>
      </c>
      <c r="F40" s="16">
        <v>1.60608343</v>
      </c>
      <c r="G40" s="14">
        <v>83.404996990000001</v>
      </c>
      <c r="H40" s="16">
        <v>1.60608343</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(2366/B41*100)</f>
        <v>82.90119131044149</v>
      </c>
      <c r="D41" s="15">
        <v>488</v>
      </c>
      <c r="E41" s="14">
        <v>13.18411828</v>
      </c>
      <c r="F41" s="16">
        <v>1.5582254900000001</v>
      </c>
      <c r="G41" s="14">
        <v>86.815881719999993</v>
      </c>
      <c r="H41" s="16">
        <v>1.5582254900000001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83.015206752250464</v>
      </c>
      <c r="D42" s="15">
        <f>IF(COUNT(D7:D41) &gt; 0, AVERAGE(D7:D41), "—")</f>
        <v>615.34375</v>
      </c>
      <c r="E42" s="14">
        <f>IF(COUNT(E7:E41) &gt; 0, AVERAGE(E7:E41), "—")</f>
        <v>17.717527718124998</v>
      </c>
      <c r="F42" s="16">
        <f>IF(COUNT(F7:F41) &gt; 0, SQRT(SUMSQ(F7:F41)/(COUNT(F7:F41)*COUNT(F7:F41)) ), "—")</f>
        <v>0.31359759031138734</v>
      </c>
      <c r="G42" s="14">
        <f>IF(COUNT(G7:G41) &gt; 0, AVERAGE(G7:G41), "—")</f>
        <v>82.282472281874988</v>
      </c>
      <c r="H42" s="16">
        <f>IF(COUNT(H7:H41) &gt; 0, SQRT(SUMSQ(H7:H41)/(COUNT(H7:H41)*COUNT(H7:H41)) ), "—")</f>
        <v>0.31359759031138734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(10241/B46*100)</f>
        <v>84.825643999006047</v>
      </c>
      <c r="D46" s="15">
        <v>1832</v>
      </c>
      <c r="E46" s="14">
        <v>36.038450820000001</v>
      </c>
      <c r="F46" s="16">
        <v>1.5065916100000001</v>
      </c>
      <c r="G46" s="14">
        <v>63.961549179999999</v>
      </c>
      <c r="H46" s="16">
        <v>1.5065916100000001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(2359/B47*100)</f>
        <v>83.563584838823942</v>
      </c>
      <c r="D47" s="15">
        <v>464</v>
      </c>
      <c r="E47" s="14">
        <v>24.995604870000001</v>
      </c>
      <c r="F47" s="16">
        <v>2.0316726100000002</v>
      </c>
      <c r="G47" s="14">
        <v>75.004395130000006</v>
      </c>
      <c r="H47" s="16">
        <v>2.0316726100000002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(3862/B48*100)</f>
        <v>82.486117043998291</v>
      </c>
      <c r="D48" s="15">
        <v>820</v>
      </c>
      <c r="E48" s="14">
        <v>21.693607839999999</v>
      </c>
      <c r="F48" s="16">
        <v>1.9472101100000001</v>
      </c>
      <c r="G48" s="14">
        <v>78.306392160000001</v>
      </c>
      <c r="H48" s="16">
        <v>1.9472101100000001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(5126/B50*100)</f>
        <v>83.241312114322824</v>
      </c>
      <c r="D50" s="15">
        <v>1032</v>
      </c>
      <c r="E50" s="14">
        <v>24.641723729999999</v>
      </c>
      <c r="F50" s="16">
        <v>1.61573674</v>
      </c>
      <c r="G50" s="14">
        <v>75.358276270000005</v>
      </c>
      <c r="H50" s="16">
        <v>1.61573674</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(2980/B51*100)</f>
        <v>85.289066971951925</v>
      </c>
      <c r="D51" s="15">
        <v>514</v>
      </c>
      <c r="E51" s="14">
        <v>23.679310619999999</v>
      </c>
      <c r="F51" s="16">
        <v>1.88472236</v>
      </c>
      <c r="G51" s="14">
        <v>76.320689380000005</v>
      </c>
      <c r="H51" s="16">
        <v>1.88472236</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25.36165746</v>
      </c>
      <c r="F52" s="16">
        <v>1.8521557099999999</v>
      </c>
      <c r="G52" s="14">
        <v>74.638342539999996</v>
      </c>
      <c r="H52" s="16">
        <v>1.8521557099999999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(2274/B53*100)</f>
        <v>82.391304347826093</v>
      </c>
      <c r="D53" s="15">
        <v>486</v>
      </c>
      <c r="E53" s="14">
        <v>23.612186940000001</v>
      </c>
      <c r="F53" s="16">
        <v>1.94925974</v>
      </c>
      <c r="G53" s="14">
        <v>76.387813059999999</v>
      </c>
      <c r="H53" s="16">
        <v>1.94925974</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17.294544630000001</v>
      </c>
      <c r="F56" s="16">
        <v>1.8311932200000001</v>
      </c>
      <c r="G56" s="14">
        <v>82.705455369999996</v>
      </c>
      <c r="H56" s="16">
        <v>1.8311932200000001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24.724743409999999</v>
      </c>
      <c r="F61" s="16">
        <v>1.99662253</v>
      </c>
      <c r="G61" s="14">
        <v>75.275256589999998</v>
      </c>
      <c r="H61" s="16">
        <v>1.99662253</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(1839/B62*100)</f>
        <v>82.466367713004487</v>
      </c>
      <c r="D62" s="15">
        <v>391</v>
      </c>
      <c r="E62" s="14">
        <v>16.902272539999998</v>
      </c>
      <c r="F62" s="16">
        <v>1.8126255899999999</v>
      </c>
      <c r="G62" s="14">
        <v>83.097727460000002</v>
      </c>
      <c r="H62" s="16">
        <v>1.8126255899999999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33.823127409999998</v>
      </c>
      <c r="F66" s="16">
        <v>2.1550643699999998</v>
      </c>
      <c r="G66" s="14">
        <v>66.176872590000002</v>
      </c>
      <c r="H66" s="16">
        <v>2.1550643699999998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(2890/B67*100)</f>
        <v>83.526011560693647</v>
      </c>
      <c r="D67" s="15">
        <v>570</v>
      </c>
      <c r="E67" s="14">
        <v>29.445477279999999</v>
      </c>
      <c r="F67" s="16">
        <v>1.95596386</v>
      </c>
      <c r="G67" s="14">
        <v>70.554522719999994</v>
      </c>
      <c r="H67" s="16">
        <v>1.95596386</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(2575/B70*100)</f>
        <v>82.877373672352746</v>
      </c>
      <c r="D70" s="15">
        <v>532</v>
      </c>
      <c r="E70" s="14">
        <v>21.550843400000002</v>
      </c>
      <c r="F70" s="16">
        <v>1.6991580500000001</v>
      </c>
      <c r="G70" s="14">
        <v>78.449156599999995</v>
      </c>
      <c r="H70" s="16">
        <v>1.6991580500000001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20.40275213</v>
      </c>
      <c r="F72" s="16">
        <v>1.6161018</v>
      </c>
      <c r="G72" s="14">
        <v>79.597247870000004</v>
      </c>
      <c r="H72" s="16">
        <v>1.6161018</v>
      </c>
      <c r="I72" s="14" t="s">
        <v>139</v>
      </c>
      <c r="J72" s="16" t="s">
        <v>139</v>
      </c>
      <c r="K72" s="14">
        <v>0</v>
      </c>
      <c r="L72" s="16">
        <v>0</v>
      </c>
      <c r="M72" s="14">
        <v>0</v>
      </c>
      <c r="N72" s="16">
        <v>0</v>
      </c>
      <c r="O72" s="14">
        <v>0</v>
      </c>
      <c r="P72" s="16">
        <v>0</v>
      </c>
      <c r="Q72" s="14">
        <v>0</v>
      </c>
      <c r="R72" s="16">
        <v>0</v>
      </c>
    </row>
    <row r="73" spans="1:18" x14ac:dyDescent="0.25">
      <c r="A73" s="11" t="s">
        <v>206</v>
      </c>
      <c r="B73" s="13">
        <v>4652</v>
      </c>
      <c r="C73" s="14">
        <f>(3893/B73*100)</f>
        <v>83.684436801375753</v>
      </c>
      <c r="D73" s="15">
        <v>759</v>
      </c>
      <c r="E73" s="14">
        <v>17.880562869999999</v>
      </c>
      <c r="F73" s="16">
        <v>1.8744417200000001</v>
      </c>
      <c r="G73" s="14">
        <v>82.119437129999994</v>
      </c>
      <c r="H73" s="16">
        <v>1.8744417200000001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(2476/B75*100)</f>
        <v>83.395082519366795</v>
      </c>
      <c r="D75" s="15">
        <v>493</v>
      </c>
      <c r="E75" s="14">
        <v>35.52189173</v>
      </c>
      <c r="F75" s="16">
        <v>2.0043949599999999</v>
      </c>
      <c r="G75" s="14">
        <v>64.478108270000007</v>
      </c>
      <c r="H75" s="16">
        <v>2.0043949599999999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(5910/B76*100)</f>
        <v>83.063949402670417</v>
      </c>
      <c r="D76" s="15">
        <v>1205</v>
      </c>
      <c r="E76" s="14">
        <v>22.051736479999999</v>
      </c>
      <c r="F76" s="16">
        <v>1.5008162199999999</v>
      </c>
      <c r="G76" s="14">
        <v>77.948263519999998</v>
      </c>
      <c r="H76" s="16">
        <v>1.5008162199999999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(2610/B77*100)</f>
        <v>82.752060875079266</v>
      </c>
      <c r="D77" s="15">
        <v>544</v>
      </c>
      <c r="E77" s="14">
        <v>24.248531010000001</v>
      </c>
      <c r="F77" s="16">
        <v>2.0256022100000002</v>
      </c>
      <c r="G77" s="14">
        <v>75.751468990000006</v>
      </c>
      <c r="H77" s="16">
        <v>2.0256022100000002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(3881/B81*100)</f>
        <v>82.609621115368242</v>
      </c>
      <c r="D81" s="15">
        <v>817</v>
      </c>
      <c r="E81" s="14">
        <v>21.116792839999999</v>
      </c>
      <c r="F81" s="16">
        <v>1.6974963300000001</v>
      </c>
      <c r="G81" s="14">
        <v>78.883207159999998</v>
      </c>
      <c r="H81" s="16">
        <v>1.6974963300000001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V96"/>
  <sheetViews>
    <sheetView zoomScale="80" workbookViewId="0">
      <pane xSplit="4" topLeftCell="E1" activePane="topRight" state="frozen"/>
      <selection pane="topRight" sqref="A1:V1"/>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253</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7163</v>
      </c>
      <c r="C7" s="14">
        <f>(5961/B7*100)</f>
        <v>83.219321513332403</v>
      </c>
      <c r="D7" s="15">
        <v>1202</v>
      </c>
      <c r="E7" s="14">
        <v>4.5874792199999996</v>
      </c>
      <c r="F7" s="16">
        <v>0.68428398999999995</v>
      </c>
      <c r="G7" s="14">
        <v>12.97261327</v>
      </c>
      <c r="H7" s="16">
        <v>1.1862805199999999</v>
      </c>
      <c r="I7" s="14">
        <v>26.10064461</v>
      </c>
      <c r="J7" s="16">
        <v>1.52935171</v>
      </c>
      <c r="K7" s="14">
        <v>56.339262900000001</v>
      </c>
      <c r="L7" s="16">
        <v>1.57484212</v>
      </c>
      <c r="M7" s="14" t="s">
        <v>139</v>
      </c>
      <c r="N7" s="16" t="s">
        <v>139</v>
      </c>
      <c r="O7" s="14">
        <v>0</v>
      </c>
      <c r="P7" s="16">
        <v>0</v>
      </c>
      <c r="Q7" s="14">
        <v>0</v>
      </c>
      <c r="R7" s="16">
        <v>0</v>
      </c>
      <c r="S7" s="14">
        <v>0</v>
      </c>
      <c r="T7" s="16">
        <v>0</v>
      </c>
      <c r="U7" s="14">
        <v>0</v>
      </c>
      <c r="V7" s="16">
        <v>0</v>
      </c>
    </row>
    <row r="8" spans="1:22" x14ac:dyDescent="0.25">
      <c r="A8" s="11" t="s">
        <v>140</v>
      </c>
      <c r="B8" s="13">
        <v>3443</v>
      </c>
      <c r="C8" s="14">
        <f>(2861/B8*100)</f>
        <v>83.096137089747316</v>
      </c>
      <c r="D8" s="15">
        <v>582</v>
      </c>
      <c r="E8" s="14">
        <v>6.0456813399999998</v>
      </c>
      <c r="F8" s="16">
        <v>1.3889349</v>
      </c>
      <c r="G8" s="14">
        <v>17.379888919999999</v>
      </c>
      <c r="H8" s="16">
        <v>1.52656317</v>
      </c>
      <c r="I8" s="14">
        <v>22.01121208</v>
      </c>
      <c r="J8" s="16">
        <v>1.6973262</v>
      </c>
      <c r="K8" s="14">
        <v>54.563217649999999</v>
      </c>
      <c r="L8" s="16">
        <v>2.4407903599999998</v>
      </c>
      <c r="M8" s="14" t="s">
        <v>139</v>
      </c>
      <c r="N8" s="16" t="s">
        <v>139</v>
      </c>
      <c r="O8" s="14">
        <v>0</v>
      </c>
      <c r="P8" s="16">
        <v>0</v>
      </c>
      <c r="Q8" s="14">
        <v>0</v>
      </c>
      <c r="R8" s="16">
        <v>0</v>
      </c>
      <c r="S8" s="14">
        <v>0</v>
      </c>
      <c r="T8" s="16">
        <v>0</v>
      </c>
      <c r="U8" s="14">
        <v>0</v>
      </c>
      <c r="V8" s="16">
        <v>0</v>
      </c>
    </row>
    <row r="9" spans="1:22" x14ac:dyDescent="0.25">
      <c r="A9" s="11" t="s">
        <v>141</v>
      </c>
      <c r="B9" s="13">
        <v>4752</v>
      </c>
      <c r="C9" s="14">
        <f>(3926/B9*100)</f>
        <v>82.617845117845107</v>
      </c>
      <c r="D9" s="15">
        <v>826</v>
      </c>
      <c r="E9" s="14">
        <v>5.4002157899999998</v>
      </c>
      <c r="F9" s="16">
        <v>0.83764506000000005</v>
      </c>
      <c r="G9" s="14">
        <v>16.772324309999998</v>
      </c>
      <c r="H9" s="16">
        <v>1.1953620700000001</v>
      </c>
      <c r="I9" s="14">
        <v>23.855017740000001</v>
      </c>
      <c r="J9" s="16">
        <v>1.54483697</v>
      </c>
      <c r="K9" s="14">
        <v>53.972442170000001</v>
      </c>
      <c r="L9" s="16">
        <v>1.7525656599999999</v>
      </c>
      <c r="M9" s="14" t="s">
        <v>139</v>
      </c>
      <c r="N9" s="16" t="s">
        <v>139</v>
      </c>
      <c r="O9" s="14">
        <v>0</v>
      </c>
      <c r="P9" s="16">
        <v>0</v>
      </c>
      <c r="Q9" s="14">
        <v>0</v>
      </c>
      <c r="R9" s="16">
        <v>0</v>
      </c>
      <c r="S9" s="14">
        <v>0</v>
      </c>
      <c r="T9" s="16">
        <v>0</v>
      </c>
      <c r="U9" s="14">
        <v>0</v>
      </c>
      <c r="V9" s="16">
        <v>0</v>
      </c>
    </row>
    <row r="10" spans="1:22" x14ac:dyDescent="0.25">
      <c r="A10" s="11" t="s">
        <v>142</v>
      </c>
      <c r="B10" s="13">
        <v>10022</v>
      </c>
      <c r="C10" s="14">
        <f>(8277/B10*100)</f>
        <v>82.588305727399728</v>
      </c>
      <c r="D10" s="15">
        <v>1745</v>
      </c>
      <c r="E10" s="14">
        <v>4.62868323</v>
      </c>
      <c r="F10" s="16">
        <v>0.76159874000000005</v>
      </c>
      <c r="G10" s="14">
        <v>12.69063416</v>
      </c>
      <c r="H10" s="16">
        <v>1.13082576</v>
      </c>
      <c r="I10" s="14">
        <v>25.459093920000001</v>
      </c>
      <c r="J10" s="16">
        <v>1.26432977</v>
      </c>
      <c r="K10" s="14">
        <v>57.221588689999997</v>
      </c>
      <c r="L10" s="16">
        <v>1.70313874</v>
      </c>
      <c r="M10" s="14" t="s">
        <v>139</v>
      </c>
      <c r="N10" s="16" t="s">
        <v>139</v>
      </c>
      <c r="O10" s="14">
        <v>0</v>
      </c>
      <c r="P10" s="16">
        <v>0</v>
      </c>
      <c r="Q10" s="14">
        <v>0</v>
      </c>
      <c r="R10" s="16">
        <v>0</v>
      </c>
      <c r="S10" s="14">
        <v>0</v>
      </c>
      <c r="T10" s="16">
        <v>0</v>
      </c>
      <c r="U10" s="14">
        <v>0</v>
      </c>
      <c r="V10" s="16">
        <v>0</v>
      </c>
    </row>
    <row r="11" spans="1:22" x14ac:dyDescent="0.25">
      <c r="A11" s="11" t="s">
        <v>143</v>
      </c>
      <c r="B11" s="13">
        <v>3500</v>
      </c>
      <c r="C11" s="14">
        <f>(2903/B11*100)</f>
        <v>82.942857142857136</v>
      </c>
      <c r="D11" s="15">
        <v>597</v>
      </c>
      <c r="E11" s="14">
        <v>7.8951214299999997</v>
      </c>
      <c r="F11" s="16">
        <v>1.27313806</v>
      </c>
      <c r="G11" s="14">
        <v>20.68594143</v>
      </c>
      <c r="H11" s="16">
        <v>1.83640716</v>
      </c>
      <c r="I11" s="14">
        <v>24.997983720000001</v>
      </c>
      <c r="J11" s="16">
        <v>1.8963979099999999</v>
      </c>
      <c r="K11" s="14">
        <v>46.420953419999996</v>
      </c>
      <c r="L11" s="16">
        <v>2.68273597</v>
      </c>
      <c r="M11" s="14" t="s">
        <v>139</v>
      </c>
      <c r="N11" s="16" t="s">
        <v>139</v>
      </c>
      <c r="O11" s="14">
        <v>0</v>
      </c>
      <c r="P11" s="16">
        <v>0</v>
      </c>
      <c r="Q11" s="14">
        <v>0</v>
      </c>
      <c r="R11" s="16">
        <v>0</v>
      </c>
      <c r="S11" s="14">
        <v>0</v>
      </c>
      <c r="T11" s="16">
        <v>0</v>
      </c>
      <c r="U11" s="14">
        <v>0</v>
      </c>
      <c r="V11" s="16">
        <v>0</v>
      </c>
    </row>
    <row r="12" spans="1:22" x14ac:dyDescent="0.25">
      <c r="A12" s="11" t="s">
        <v>144</v>
      </c>
      <c r="B12" s="13">
        <v>3422</v>
      </c>
      <c r="C12" s="14">
        <f>(2853/B12*100)</f>
        <v>83.372296902396258</v>
      </c>
      <c r="D12" s="15">
        <v>569</v>
      </c>
      <c r="E12" s="14">
        <v>4.0205309400000004</v>
      </c>
      <c r="F12" s="16">
        <v>0.98990686999999999</v>
      </c>
      <c r="G12" s="14">
        <v>13.31831712</v>
      </c>
      <c r="H12" s="16">
        <v>1.5555505000000001</v>
      </c>
      <c r="I12" s="14">
        <v>27.791102110000001</v>
      </c>
      <c r="J12" s="16">
        <v>2.1941778300000001</v>
      </c>
      <c r="K12" s="14">
        <v>54.870049819999998</v>
      </c>
      <c r="L12" s="16">
        <v>2.33012021</v>
      </c>
      <c r="M12" s="14" t="s">
        <v>139</v>
      </c>
      <c r="N12" s="16" t="s">
        <v>139</v>
      </c>
      <c r="O12" s="14">
        <v>0</v>
      </c>
      <c r="P12" s="16">
        <v>0</v>
      </c>
      <c r="Q12" s="14">
        <v>0</v>
      </c>
      <c r="R12" s="16">
        <v>0</v>
      </c>
      <c r="S12" s="14">
        <v>0</v>
      </c>
      <c r="T12" s="16">
        <v>0</v>
      </c>
      <c r="U12" s="14">
        <v>0</v>
      </c>
      <c r="V12" s="16">
        <v>0</v>
      </c>
    </row>
    <row r="13" spans="1:22" x14ac:dyDescent="0.25">
      <c r="A13" s="11" t="s">
        <v>145</v>
      </c>
      <c r="B13" s="13">
        <v>3602</v>
      </c>
      <c r="C13" s="14">
        <f>(3015/B13*100)</f>
        <v>83.703498056635212</v>
      </c>
      <c r="D13" s="15">
        <v>587</v>
      </c>
      <c r="E13" s="14">
        <v>2.4775189200000001</v>
      </c>
      <c r="F13" s="16">
        <v>0.70280958000000004</v>
      </c>
      <c r="G13" s="14">
        <v>14.83630095</v>
      </c>
      <c r="H13" s="16">
        <v>2.03436182</v>
      </c>
      <c r="I13" s="14">
        <v>26.726161279999999</v>
      </c>
      <c r="J13" s="16">
        <v>2.4760541599999999</v>
      </c>
      <c r="K13" s="14">
        <v>55.960018849999997</v>
      </c>
      <c r="L13" s="16">
        <v>2.5879588600000001</v>
      </c>
      <c r="M13" s="14" t="s">
        <v>139</v>
      </c>
      <c r="N13" s="16" t="s">
        <v>139</v>
      </c>
      <c r="O13" s="14">
        <v>0</v>
      </c>
      <c r="P13" s="16">
        <v>0</v>
      </c>
      <c r="Q13" s="14">
        <v>0</v>
      </c>
      <c r="R13" s="16">
        <v>0</v>
      </c>
      <c r="S13" s="14">
        <v>0</v>
      </c>
      <c r="T13" s="16">
        <v>0</v>
      </c>
      <c r="U13" s="14">
        <v>0</v>
      </c>
      <c r="V13" s="16">
        <v>0</v>
      </c>
    </row>
    <row r="14" spans="1:22" x14ac:dyDescent="0.25">
      <c r="A14" s="11" t="s">
        <v>146</v>
      </c>
      <c r="B14" s="13">
        <v>2788</v>
      </c>
      <c r="C14" s="14">
        <f>(2313/B14*100)</f>
        <v>82.962697274031555</v>
      </c>
      <c r="D14" s="15">
        <v>475</v>
      </c>
      <c r="E14" s="14">
        <v>4.1846745399999996</v>
      </c>
      <c r="F14" s="16">
        <v>1.1560871100000001</v>
      </c>
      <c r="G14" s="14">
        <v>10.204183520000001</v>
      </c>
      <c r="H14" s="16">
        <v>1.2716069000000001</v>
      </c>
      <c r="I14" s="14">
        <v>19.360370069999998</v>
      </c>
      <c r="J14" s="16">
        <v>2.0583678399999998</v>
      </c>
      <c r="K14" s="14">
        <v>66.25077186</v>
      </c>
      <c r="L14" s="16">
        <v>2.53787444</v>
      </c>
      <c r="M14" s="14" t="s">
        <v>139</v>
      </c>
      <c r="N14" s="16" t="s">
        <v>139</v>
      </c>
      <c r="O14" s="14">
        <v>0</v>
      </c>
      <c r="P14" s="16">
        <v>0</v>
      </c>
      <c r="Q14" s="14">
        <v>0</v>
      </c>
      <c r="R14" s="16">
        <v>0</v>
      </c>
      <c r="S14" s="14">
        <v>0</v>
      </c>
      <c r="T14" s="16">
        <v>0</v>
      </c>
      <c r="U14" s="14">
        <v>0</v>
      </c>
      <c r="V14" s="16">
        <v>0</v>
      </c>
    </row>
    <row r="15" spans="1:22" x14ac:dyDescent="0.25">
      <c r="A15" s="11" t="s">
        <v>147</v>
      </c>
      <c r="B15" s="13">
        <v>2863</v>
      </c>
      <c r="C15" s="14">
        <f>(2383/B15*100)</f>
        <v>83.234369542438003</v>
      </c>
      <c r="D15" s="15">
        <v>480</v>
      </c>
      <c r="E15" s="14">
        <v>2.6575477300000001</v>
      </c>
      <c r="F15" s="16">
        <v>0.75378155000000002</v>
      </c>
      <c r="G15" s="14">
        <v>13.58794859</v>
      </c>
      <c r="H15" s="16">
        <v>1.5989032299999999</v>
      </c>
      <c r="I15" s="14">
        <v>23.796061630000001</v>
      </c>
      <c r="J15" s="16">
        <v>1.94135221</v>
      </c>
      <c r="K15" s="14">
        <v>59.958442040000001</v>
      </c>
      <c r="L15" s="16">
        <v>2.3169193799999999</v>
      </c>
      <c r="M15" s="14" t="s">
        <v>139</v>
      </c>
      <c r="N15" s="16" t="s">
        <v>139</v>
      </c>
      <c r="O15" s="14">
        <v>0</v>
      </c>
      <c r="P15" s="16">
        <v>0</v>
      </c>
      <c r="Q15" s="14">
        <v>0</v>
      </c>
      <c r="R15" s="16">
        <v>0</v>
      </c>
      <c r="S15" s="14">
        <v>0</v>
      </c>
      <c r="T15" s="16">
        <v>0</v>
      </c>
      <c r="U15" s="14">
        <v>0</v>
      </c>
      <c r="V15" s="16">
        <v>0</v>
      </c>
    </row>
    <row r="16" spans="1:22" x14ac:dyDescent="0.25">
      <c r="A16" s="11" t="s">
        <v>148</v>
      </c>
      <c r="B16" s="13">
        <v>3111</v>
      </c>
      <c r="C16" s="14">
        <f>(2565/B16*100)</f>
        <v>82.44937319189971</v>
      </c>
      <c r="D16" s="15">
        <v>546</v>
      </c>
      <c r="E16" s="14">
        <v>8.7195304199999999</v>
      </c>
      <c r="F16" s="16">
        <v>1.3956944600000001</v>
      </c>
      <c r="G16" s="14">
        <v>17.30065145</v>
      </c>
      <c r="H16" s="16">
        <v>1.66048982</v>
      </c>
      <c r="I16" s="14">
        <v>22.881155629999999</v>
      </c>
      <c r="J16" s="16">
        <v>1.6476444400000001</v>
      </c>
      <c r="K16" s="14">
        <v>51.098662500000003</v>
      </c>
      <c r="L16" s="16">
        <v>2.1210566599999998</v>
      </c>
      <c r="M16" s="14" t="s">
        <v>139</v>
      </c>
      <c r="N16" s="16" t="s">
        <v>139</v>
      </c>
      <c r="O16" s="14">
        <v>0</v>
      </c>
      <c r="P16" s="16">
        <v>0</v>
      </c>
      <c r="Q16" s="14">
        <v>0</v>
      </c>
      <c r="R16" s="16">
        <v>0</v>
      </c>
      <c r="S16" s="14">
        <v>0</v>
      </c>
      <c r="T16" s="16">
        <v>0</v>
      </c>
      <c r="U16" s="14">
        <v>0</v>
      </c>
      <c r="V16" s="16">
        <v>0</v>
      </c>
    </row>
    <row r="17" spans="1:22" x14ac:dyDescent="0.25">
      <c r="A17" s="11" t="s">
        <v>149</v>
      </c>
      <c r="B17" s="13">
        <v>3197</v>
      </c>
      <c r="C17" s="14">
        <f>(2643/B17*100)</f>
        <v>82.671254300907108</v>
      </c>
      <c r="D17" s="15">
        <v>554</v>
      </c>
      <c r="E17" s="14">
        <v>4.5320024200000004</v>
      </c>
      <c r="F17" s="16">
        <v>0.85724034000000005</v>
      </c>
      <c r="G17" s="14">
        <v>13.88656055</v>
      </c>
      <c r="H17" s="16">
        <v>1.3616955500000001</v>
      </c>
      <c r="I17" s="14">
        <v>23.291566419999999</v>
      </c>
      <c r="J17" s="16">
        <v>1.82241768</v>
      </c>
      <c r="K17" s="14">
        <v>58.289870620000002</v>
      </c>
      <c r="L17" s="16">
        <v>2.0539407600000001</v>
      </c>
      <c r="M17" s="14" t="s">
        <v>139</v>
      </c>
      <c r="N17" s="16" t="s">
        <v>139</v>
      </c>
      <c r="O17" s="14">
        <v>0</v>
      </c>
      <c r="P17" s="16">
        <v>0</v>
      </c>
      <c r="Q17" s="14">
        <v>0</v>
      </c>
      <c r="R17" s="16">
        <v>0</v>
      </c>
      <c r="S17" s="14">
        <v>0</v>
      </c>
      <c r="T17" s="16">
        <v>0</v>
      </c>
      <c r="U17" s="14">
        <v>0</v>
      </c>
      <c r="V17" s="16">
        <v>0</v>
      </c>
    </row>
    <row r="18" spans="1:22" x14ac:dyDescent="0.25">
      <c r="A18" s="11" t="s">
        <v>150</v>
      </c>
      <c r="B18" s="13">
        <v>2706</v>
      </c>
      <c r="C18" s="14">
        <f>(2233/B18*100)</f>
        <v>82.520325203252028</v>
      </c>
      <c r="D18" s="15">
        <v>473</v>
      </c>
      <c r="E18" s="14">
        <v>6.29560736</v>
      </c>
      <c r="F18" s="16">
        <v>1.18894911</v>
      </c>
      <c r="G18" s="14">
        <v>23.49808895</v>
      </c>
      <c r="H18" s="16">
        <v>2.3524551800000002</v>
      </c>
      <c r="I18" s="14">
        <v>26.986464089999998</v>
      </c>
      <c r="J18" s="16">
        <v>2.0091345199999999</v>
      </c>
      <c r="K18" s="14">
        <v>43.2198396</v>
      </c>
      <c r="L18" s="16">
        <v>2.3992774200000002</v>
      </c>
      <c r="M18" s="14" t="s">
        <v>139</v>
      </c>
      <c r="N18" s="16" t="s">
        <v>139</v>
      </c>
      <c r="O18" s="14">
        <v>0</v>
      </c>
      <c r="P18" s="16">
        <v>0</v>
      </c>
      <c r="Q18" s="14">
        <v>0</v>
      </c>
      <c r="R18" s="16">
        <v>0</v>
      </c>
      <c r="S18" s="14">
        <v>0</v>
      </c>
      <c r="T18" s="16">
        <v>0</v>
      </c>
      <c r="U18" s="14">
        <v>0</v>
      </c>
      <c r="V18" s="16">
        <v>0</v>
      </c>
    </row>
    <row r="19" spans="1:22" x14ac:dyDescent="0.25">
      <c r="A19" s="11" t="s">
        <v>151</v>
      </c>
      <c r="B19" s="13">
        <v>2850</v>
      </c>
      <c r="C19" s="14">
        <f>(2373/B19*100)</f>
        <v>83.263157894736835</v>
      </c>
      <c r="D19" s="15">
        <v>477</v>
      </c>
      <c r="E19" s="14">
        <v>6.9538837999999998</v>
      </c>
      <c r="F19" s="16">
        <v>1.22855348</v>
      </c>
      <c r="G19" s="14">
        <v>18.661834110000001</v>
      </c>
      <c r="H19" s="16">
        <v>1.9364301100000001</v>
      </c>
      <c r="I19" s="14">
        <v>26.651403179999999</v>
      </c>
      <c r="J19" s="16">
        <v>2.1253762799999998</v>
      </c>
      <c r="K19" s="14">
        <v>47.732878919999997</v>
      </c>
      <c r="L19" s="16">
        <v>2.6866432699999998</v>
      </c>
      <c r="M19" s="14" t="s">
        <v>139</v>
      </c>
      <c r="N19" s="16" t="s">
        <v>139</v>
      </c>
      <c r="O19" s="14">
        <v>0</v>
      </c>
      <c r="P19" s="16">
        <v>0</v>
      </c>
      <c r="Q19" s="14">
        <v>0</v>
      </c>
      <c r="R19" s="16">
        <v>0</v>
      </c>
      <c r="S19" s="14">
        <v>0</v>
      </c>
      <c r="T19" s="16">
        <v>0</v>
      </c>
      <c r="U19" s="14">
        <v>0</v>
      </c>
      <c r="V19" s="16">
        <v>0</v>
      </c>
    </row>
    <row r="20" spans="1:22" x14ac:dyDescent="0.25">
      <c r="A20" s="11" t="s">
        <v>152</v>
      </c>
      <c r="B20" s="13">
        <v>1741</v>
      </c>
      <c r="C20" s="14">
        <f>(1445/B20*100)</f>
        <v>82.998276852383697</v>
      </c>
      <c r="D20" s="15">
        <v>296</v>
      </c>
      <c r="E20" s="14">
        <v>4.7430275899999996</v>
      </c>
      <c r="F20" s="16">
        <v>1.3894283199999999</v>
      </c>
      <c r="G20" s="14">
        <v>10.355554420000001</v>
      </c>
      <c r="H20" s="16">
        <v>2.05181915</v>
      </c>
      <c r="I20" s="14">
        <v>21.764038970000001</v>
      </c>
      <c r="J20" s="16">
        <v>2.5388354999999998</v>
      </c>
      <c r="K20" s="14">
        <v>63.137379019999997</v>
      </c>
      <c r="L20" s="16">
        <v>3.4418001600000001</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3667</v>
      </c>
      <c r="C22" s="14">
        <f>(3120/B22*100)</f>
        <v>85.083174256885741</v>
      </c>
      <c r="D22" s="15">
        <v>547</v>
      </c>
      <c r="E22" s="14">
        <v>7.6395576900000002</v>
      </c>
      <c r="F22" s="16">
        <v>1.20219783</v>
      </c>
      <c r="G22" s="14">
        <v>21.939435</v>
      </c>
      <c r="H22" s="16">
        <v>1.8480103000000001</v>
      </c>
      <c r="I22" s="14">
        <v>25.484817469999999</v>
      </c>
      <c r="J22" s="16">
        <v>1.8663191100000001</v>
      </c>
      <c r="K22" s="14">
        <v>44.936189839999997</v>
      </c>
      <c r="L22" s="16">
        <v>2.4357198000000002</v>
      </c>
      <c r="M22" s="14" t="s">
        <v>139</v>
      </c>
      <c r="N22" s="16" t="s">
        <v>139</v>
      </c>
      <c r="O22" s="14">
        <v>0</v>
      </c>
      <c r="P22" s="16">
        <v>0</v>
      </c>
      <c r="Q22" s="14">
        <v>0</v>
      </c>
      <c r="R22" s="16">
        <v>0</v>
      </c>
      <c r="S22" s="14">
        <v>0</v>
      </c>
      <c r="T22" s="16">
        <v>0</v>
      </c>
      <c r="U22" s="14">
        <v>0</v>
      </c>
      <c r="V22" s="16">
        <v>0</v>
      </c>
    </row>
    <row r="23" spans="1:22" x14ac:dyDescent="0.25">
      <c r="A23" s="11" t="s">
        <v>156</v>
      </c>
      <c r="B23" s="13">
        <v>5792</v>
      </c>
      <c r="C23" s="14">
        <f>(4796/B23*100)</f>
        <v>82.803867403314911</v>
      </c>
      <c r="D23" s="15">
        <v>996</v>
      </c>
      <c r="E23" s="14">
        <v>6.7230454100000001</v>
      </c>
      <c r="F23" s="16">
        <v>1.3743994900000001</v>
      </c>
      <c r="G23" s="14">
        <v>21.066904430000001</v>
      </c>
      <c r="H23" s="16">
        <v>1.8315717600000001</v>
      </c>
      <c r="I23" s="14">
        <v>25.64022782</v>
      </c>
      <c r="J23" s="16">
        <v>1.9309026499999999</v>
      </c>
      <c r="K23" s="14">
        <v>46.569822350000003</v>
      </c>
      <c r="L23" s="16">
        <v>1.99248928</v>
      </c>
      <c r="M23" s="14" t="s">
        <v>139</v>
      </c>
      <c r="N23" s="16" t="s">
        <v>139</v>
      </c>
      <c r="O23" s="14">
        <v>0</v>
      </c>
      <c r="P23" s="16">
        <v>0</v>
      </c>
      <c r="Q23" s="14">
        <v>0</v>
      </c>
      <c r="R23" s="16">
        <v>0</v>
      </c>
      <c r="S23" s="14">
        <v>0</v>
      </c>
      <c r="T23" s="16">
        <v>0</v>
      </c>
      <c r="U23" s="14">
        <v>0</v>
      </c>
      <c r="V23" s="16">
        <v>0</v>
      </c>
    </row>
    <row r="24" spans="1:22" x14ac:dyDescent="0.25">
      <c r="A24" s="11" t="s">
        <v>157</v>
      </c>
      <c r="B24" s="13">
        <v>3309</v>
      </c>
      <c r="C24" s="14">
        <f>(2743/B24*100)</f>
        <v>82.895134481716525</v>
      </c>
      <c r="D24" s="15">
        <v>566</v>
      </c>
      <c r="E24" s="14">
        <v>1.14116514</v>
      </c>
      <c r="F24" s="16">
        <v>0.38215332000000002</v>
      </c>
      <c r="G24" s="14">
        <v>10.02565021</v>
      </c>
      <c r="H24" s="16">
        <v>1.23148525</v>
      </c>
      <c r="I24" s="14">
        <v>23.912995680000002</v>
      </c>
      <c r="J24" s="16">
        <v>1.8735561199999999</v>
      </c>
      <c r="K24" s="14">
        <v>64.920188969999998</v>
      </c>
      <c r="L24" s="16">
        <v>2.0725638399999999</v>
      </c>
      <c r="M24" s="14" t="s">
        <v>139</v>
      </c>
      <c r="N24" s="16" t="s">
        <v>139</v>
      </c>
      <c r="O24" s="14">
        <v>0</v>
      </c>
      <c r="P24" s="16">
        <v>0</v>
      </c>
      <c r="Q24" s="14">
        <v>0</v>
      </c>
      <c r="R24" s="16">
        <v>0</v>
      </c>
      <c r="S24" s="14">
        <v>0</v>
      </c>
      <c r="T24" s="16">
        <v>0</v>
      </c>
      <c r="U24" s="14">
        <v>0</v>
      </c>
      <c r="V24" s="16">
        <v>0</v>
      </c>
    </row>
    <row r="25" spans="1:22" x14ac:dyDescent="0.25">
      <c r="A25" s="11" t="s">
        <v>158</v>
      </c>
      <c r="B25" s="13">
        <v>2669</v>
      </c>
      <c r="C25" s="14">
        <f>(2210/B25*100)</f>
        <v>82.802547770700642</v>
      </c>
      <c r="D25" s="15">
        <v>459</v>
      </c>
      <c r="E25" s="14">
        <v>3.1256170499999998</v>
      </c>
      <c r="F25" s="16">
        <v>0.77993785000000004</v>
      </c>
      <c r="G25" s="14">
        <v>10.62148395</v>
      </c>
      <c r="H25" s="16">
        <v>1.4148666400000001</v>
      </c>
      <c r="I25" s="14">
        <v>25.49902655</v>
      </c>
      <c r="J25" s="16">
        <v>2.0343348400000001</v>
      </c>
      <c r="K25" s="14">
        <v>60.753872450000003</v>
      </c>
      <c r="L25" s="16">
        <v>2.1846836700000001</v>
      </c>
      <c r="M25" s="14" t="s">
        <v>139</v>
      </c>
      <c r="N25" s="16" t="s">
        <v>139</v>
      </c>
      <c r="O25" s="14">
        <v>0</v>
      </c>
      <c r="P25" s="16">
        <v>0</v>
      </c>
      <c r="Q25" s="14">
        <v>0</v>
      </c>
      <c r="R25" s="16">
        <v>0</v>
      </c>
      <c r="S25" s="14">
        <v>0</v>
      </c>
      <c r="T25" s="16">
        <v>0</v>
      </c>
      <c r="U25" s="14">
        <v>0</v>
      </c>
      <c r="V25" s="16">
        <v>0</v>
      </c>
    </row>
    <row r="26" spans="1:22" x14ac:dyDescent="0.25">
      <c r="A26" s="11" t="s">
        <v>159</v>
      </c>
      <c r="B26" s="13">
        <v>2419</v>
      </c>
      <c r="C26" s="14">
        <f>(1999/B26*100)</f>
        <v>82.637453493179009</v>
      </c>
      <c r="D26" s="15">
        <v>420</v>
      </c>
      <c r="E26" s="14">
        <v>6.1384276199999999</v>
      </c>
      <c r="F26" s="16">
        <v>1.14057517</v>
      </c>
      <c r="G26" s="14">
        <v>14.840034360000001</v>
      </c>
      <c r="H26" s="16">
        <v>2.1527559200000002</v>
      </c>
      <c r="I26" s="14">
        <v>24.65532559</v>
      </c>
      <c r="J26" s="16">
        <v>2.1288094800000001</v>
      </c>
      <c r="K26" s="14">
        <v>54.366212429999997</v>
      </c>
      <c r="L26" s="16">
        <v>2.52504595</v>
      </c>
      <c r="M26" s="14" t="s">
        <v>139</v>
      </c>
      <c r="N26" s="16" t="s">
        <v>139</v>
      </c>
      <c r="O26" s="14">
        <v>0</v>
      </c>
      <c r="P26" s="16">
        <v>0</v>
      </c>
      <c r="Q26" s="14">
        <v>0</v>
      </c>
      <c r="R26" s="16">
        <v>0</v>
      </c>
      <c r="S26" s="14">
        <v>0</v>
      </c>
      <c r="T26" s="16">
        <v>0</v>
      </c>
      <c r="U26" s="14">
        <v>0</v>
      </c>
      <c r="V26" s="16">
        <v>0</v>
      </c>
    </row>
    <row r="27" spans="1:22" x14ac:dyDescent="0.25">
      <c r="A27" s="11" t="s">
        <v>160</v>
      </c>
      <c r="B27" s="13">
        <v>2683</v>
      </c>
      <c r="C27" s="14">
        <f>(2225/B27*100)</f>
        <v>82.929556466641813</v>
      </c>
      <c r="D27" s="15">
        <v>458</v>
      </c>
      <c r="E27" s="14">
        <v>5.7138451799999999</v>
      </c>
      <c r="F27" s="16">
        <v>1.0884817200000001</v>
      </c>
      <c r="G27" s="14">
        <v>18.91258788</v>
      </c>
      <c r="H27" s="16">
        <v>2.05196946</v>
      </c>
      <c r="I27" s="14">
        <v>25.51429757</v>
      </c>
      <c r="J27" s="16">
        <v>2.2274404799999998</v>
      </c>
      <c r="K27" s="14">
        <v>49.85926937</v>
      </c>
      <c r="L27" s="16">
        <v>2.4796166300000002</v>
      </c>
      <c r="M27" s="14" t="s">
        <v>139</v>
      </c>
      <c r="N27" s="16" t="s">
        <v>139</v>
      </c>
      <c r="O27" s="14">
        <v>0</v>
      </c>
      <c r="P27" s="16">
        <v>0</v>
      </c>
      <c r="Q27" s="14">
        <v>0</v>
      </c>
      <c r="R27" s="16">
        <v>0</v>
      </c>
      <c r="S27" s="14">
        <v>0</v>
      </c>
      <c r="T27" s="16">
        <v>0</v>
      </c>
      <c r="U27" s="14">
        <v>0</v>
      </c>
      <c r="V27" s="16">
        <v>0</v>
      </c>
    </row>
    <row r="28" spans="1:22" x14ac:dyDescent="0.25">
      <c r="A28" s="11" t="s">
        <v>161</v>
      </c>
      <c r="B28" s="13">
        <v>3803</v>
      </c>
      <c r="C28" s="14">
        <f>(3220/B28*100)</f>
        <v>84.669997370496972</v>
      </c>
      <c r="D28" s="15">
        <v>583</v>
      </c>
      <c r="E28" s="14">
        <v>10.16257358</v>
      </c>
      <c r="F28" s="16">
        <v>1.3093002499999999</v>
      </c>
      <c r="G28" s="14">
        <v>28.070683559999999</v>
      </c>
      <c r="H28" s="16">
        <v>2.2021852800000001</v>
      </c>
      <c r="I28" s="14">
        <v>24.634416430000002</v>
      </c>
      <c r="J28" s="16">
        <v>2.2973176400000002</v>
      </c>
      <c r="K28" s="14">
        <v>37.132326429999999</v>
      </c>
      <c r="L28" s="16">
        <v>2.0933575100000001</v>
      </c>
      <c r="M28" s="14" t="s">
        <v>139</v>
      </c>
      <c r="N28" s="16" t="s">
        <v>139</v>
      </c>
      <c r="O28" s="14">
        <v>0</v>
      </c>
      <c r="P28" s="16">
        <v>0</v>
      </c>
      <c r="Q28" s="14">
        <v>0</v>
      </c>
      <c r="R28" s="16">
        <v>0</v>
      </c>
      <c r="S28" s="14">
        <v>0</v>
      </c>
      <c r="T28" s="16">
        <v>0</v>
      </c>
      <c r="U28" s="14">
        <v>0</v>
      </c>
      <c r="V28" s="16">
        <v>0</v>
      </c>
    </row>
    <row r="29" spans="1:22" x14ac:dyDescent="0.25">
      <c r="A29" s="11" t="s">
        <v>162</v>
      </c>
      <c r="B29" s="13">
        <v>2700</v>
      </c>
      <c r="C29" s="14">
        <f>(2246/B29*100)</f>
        <v>83.18518518518519</v>
      </c>
      <c r="D29" s="15">
        <v>454</v>
      </c>
      <c r="E29" s="14">
        <v>2.41056173</v>
      </c>
      <c r="F29" s="16">
        <v>0.67468125000000001</v>
      </c>
      <c r="G29" s="14">
        <v>18.425058190000001</v>
      </c>
      <c r="H29" s="16">
        <v>1.9856946</v>
      </c>
      <c r="I29" s="14">
        <v>21.351466129999999</v>
      </c>
      <c r="J29" s="16">
        <v>1.7088494999999999</v>
      </c>
      <c r="K29" s="14">
        <v>57.812913950000002</v>
      </c>
      <c r="L29" s="16">
        <v>2.4358545700000001</v>
      </c>
      <c r="M29" s="14" t="s">
        <v>139</v>
      </c>
      <c r="N29" s="16" t="s">
        <v>139</v>
      </c>
      <c r="O29" s="14">
        <v>0</v>
      </c>
      <c r="P29" s="16">
        <v>0</v>
      </c>
      <c r="Q29" s="14">
        <v>0</v>
      </c>
      <c r="R29" s="16">
        <v>0</v>
      </c>
      <c r="S29" s="14">
        <v>0</v>
      </c>
      <c r="T29" s="16">
        <v>0</v>
      </c>
      <c r="U29" s="14">
        <v>0</v>
      </c>
      <c r="V29" s="16">
        <v>0</v>
      </c>
    </row>
    <row r="30" spans="1:22" x14ac:dyDescent="0.25">
      <c r="A30" s="11" t="s">
        <v>163</v>
      </c>
      <c r="B30" s="13">
        <v>2257</v>
      </c>
      <c r="C30" s="14">
        <f>(1881/B30*100)</f>
        <v>83.340717766947265</v>
      </c>
      <c r="D30" s="15">
        <v>376</v>
      </c>
      <c r="E30" s="14">
        <v>1.55135226</v>
      </c>
      <c r="F30" s="16">
        <v>0.73690096000000005</v>
      </c>
      <c r="G30" s="14">
        <v>11.14246432</v>
      </c>
      <c r="H30" s="16">
        <v>1.4306401399999999</v>
      </c>
      <c r="I30" s="14">
        <v>26.263799370000001</v>
      </c>
      <c r="J30" s="16">
        <v>2.5780314099999999</v>
      </c>
      <c r="K30" s="14">
        <v>61.042384040000002</v>
      </c>
      <c r="L30" s="16">
        <v>2.8997033499999998</v>
      </c>
      <c r="M30" s="14" t="s">
        <v>139</v>
      </c>
      <c r="N30" s="16" t="s">
        <v>139</v>
      </c>
      <c r="O30" s="14">
        <v>0</v>
      </c>
      <c r="P30" s="16">
        <v>0</v>
      </c>
      <c r="Q30" s="14">
        <v>0</v>
      </c>
      <c r="R30" s="16">
        <v>0</v>
      </c>
      <c r="S30" s="14">
        <v>0</v>
      </c>
      <c r="T30" s="16">
        <v>0</v>
      </c>
      <c r="U30" s="14">
        <v>0</v>
      </c>
      <c r="V30" s="16">
        <v>0</v>
      </c>
    </row>
    <row r="31" spans="1:22" x14ac:dyDescent="0.25">
      <c r="A31" s="11" t="s">
        <v>164</v>
      </c>
      <c r="B31" s="13">
        <v>2706</v>
      </c>
      <c r="C31" s="14">
        <f>(2247/B31*100)</f>
        <v>83.037694013303764</v>
      </c>
      <c r="D31" s="15">
        <v>459</v>
      </c>
      <c r="E31" s="14">
        <v>2.1806963499999998</v>
      </c>
      <c r="F31" s="16">
        <v>0.75231101</v>
      </c>
      <c r="G31" s="14">
        <v>12.21884704</v>
      </c>
      <c r="H31" s="16">
        <v>1.68629004</v>
      </c>
      <c r="I31" s="14">
        <v>20.68817636</v>
      </c>
      <c r="J31" s="16">
        <v>1.93071989</v>
      </c>
      <c r="K31" s="14">
        <v>64.912280260000003</v>
      </c>
      <c r="L31" s="16">
        <v>2.0457651600000002</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3651</v>
      </c>
      <c r="C33" s="14">
        <f>(3043/B33*100)</f>
        <v>83.347028211448915</v>
      </c>
      <c r="D33" s="15">
        <v>608</v>
      </c>
      <c r="E33" s="14">
        <v>7.2039514499999999</v>
      </c>
      <c r="F33" s="16">
        <v>1.41422136</v>
      </c>
      <c r="G33" s="14">
        <v>16.716262740000001</v>
      </c>
      <c r="H33" s="16">
        <v>1.66874378</v>
      </c>
      <c r="I33" s="14">
        <v>28.3318154</v>
      </c>
      <c r="J33" s="16">
        <v>1.92758579</v>
      </c>
      <c r="K33" s="14">
        <v>47.7479704</v>
      </c>
      <c r="L33" s="16">
        <v>2.0801150499999999</v>
      </c>
      <c r="M33" s="14" t="s">
        <v>139</v>
      </c>
      <c r="N33" s="16" t="s">
        <v>139</v>
      </c>
      <c r="O33" s="14">
        <v>0</v>
      </c>
      <c r="P33" s="16">
        <v>0</v>
      </c>
      <c r="Q33" s="14">
        <v>0</v>
      </c>
      <c r="R33" s="16">
        <v>0</v>
      </c>
      <c r="S33" s="14">
        <v>0</v>
      </c>
      <c r="T33" s="16">
        <v>0</v>
      </c>
      <c r="U33" s="14">
        <v>0</v>
      </c>
      <c r="V33" s="16">
        <v>0</v>
      </c>
    </row>
    <row r="34" spans="1:22" x14ac:dyDescent="0.25">
      <c r="A34" s="11" t="s">
        <v>167</v>
      </c>
      <c r="B34" s="13">
        <v>3035</v>
      </c>
      <c r="C34" s="14">
        <f>(2543/B34*100)</f>
        <v>83.789126853377255</v>
      </c>
      <c r="D34" s="15">
        <v>492</v>
      </c>
      <c r="E34" s="14">
        <v>7.21118025</v>
      </c>
      <c r="F34" s="16">
        <v>1.2392432600000001</v>
      </c>
      <c r="G34" s="14">
        <v>17.850070939999998</v>
      </c>
      <c r="H34" s="16">
        <v>1.9595505200000001</v>
      </c>
      <c r="I34" s="14">
        <v>26.482922120000001</v>
      </c>
      <c r="J34" s="16">
        <v>1.9992469900000001</v>
      </c>
      <c r="K34" s="14">
        <v>48.455826690000002</v>
      </c>
      <c r="L34" s="16">
        <v>2.6407948299999999</v>
      </c>
      <c r="M34" s="14" t="s">
        <v>139</v>
      </c>
      <c r="N34" s="16" t="s">
        <v>139</v>
      </c>
      <c r="O34" s="14">
        <v>0</v>
      </c>
      <c r="P34" s="16">
        <v>0</v>
      </c>
      <c r="Q34" s="14">
        <v>0</v>
      </c>
      <c r="R34" s="16">
        <v>0</v>
      </c>
      <c r="S34" s="14">
        <v>0</v>
      </c>
      <c r="T34" s="16">
        <v>0</v>
      </c>
      <c r="U34" s="14">
        <v>0</v>
      </c>
      <c r="V34" s="16">
        <v>0</v>
      </c>
    </row>
    <row r="35" spans="1:22" x14ac:dyDescent="0.25">
      <c r="A35" s="11" t="s">
        <v>168</v>
      </c>
      <c r="B35" s="13">
        <v>2901</v>
      </c>
      <c r="C35" s="14">
        <f>(2395/B35*100)</f>
        <v>82.55773871078938</v>
      </c>
      <c r="D35" s="15">
        <v>506</v>
      </c>
      <c r="E35" s="14">
        <v>4.2752986799999997</v>
      </c>
      <c r="F35" s="16">
        <v>1.06378576</v>
      </c>
      <c r="G35" s="14">
        <v>14.57219081</v>
      </c>
      <c r="H35" s="16">
        <v>1.9438827299999999</v>
      </c>
      <c r="I35" s="14">
        <v>28.22158439</v>
      </c>
      <c r="J35" s="16">
        <v>2.8568120000000001</v>
      </c>
      <c r="K35" s="14">
        <v>52.930926120000002</v>
      </c>
      <c r="L35" s="16">
        <v>2.81801623</v>
      </c>
      <c r="M35" s="14" t="s">
        <v>139</v>
      </c>
      <c r="N35" s="16" t="s">
        <v>139</v>
      </c>
      <c r="O35" s="14">
        <v>0</v>
      </c>
      <c r="P35" s="16">
        <v>0</v>
      </c>
      <c r="Q35" s="14">
        <v>0</v>
      </c>
      <c r="R35" s="16">
        <v>0</v>
      </c>
      <c r="S35" s="14">
        <v>0</v>
      </c>
      <c r="T35" s="16">
        <v>0</v>
      </c>
      <c r="U35" s="14">
        <v>0</v>
      </c>
      <c r="V35" s="16">
        <v>0</v>
      </c>
    </row>
    <row r="36" spans="1:22" x14ac:dyDescent="0.25">
      <c r="A36" s="11" t="s">
        <v>169</v>
      </c>
      <c r="B36" s="13">
        <v>3404</v>
      </c>
      <c r="C36" s="14">
        <f>(2823/B36*100)</f>
        <v>82.931844888366626</v>
      </c>
      <c r="D36" s="15">
        <v>581</v>
      </c>
      <c r="E36" s="14">
        <v>3.8787999800000001</v>
      </c>
      <c r="F36" s="16">
        <v>0.83570080000000002</v>
      </c>
      <c r="G36" s="14">
        <v>21.81326576</v>
      </c>
      <c r="H36" s="16">
        <v>1.93526887</v>
      </c>
      <c r="I36" s="14">
        <v>27.70024377</v>
      </c>
      <c r="J36" s="16">
        <v>1.9713496399999999</v>
      </c>
      <c r="K36" s="14">
        <v>46.607690490000003</v>
      </c>
      <c r="L36" s="16">
        <v>2.1210848699999998</v>
      </c>
      <c r="M36" s="14" t="s">
        <v>139</v>
      </c>
      <c r="N36" s="16" t="s">
        <v>139</v>
      </c>
      <c r="O36" s="14">
        <v>0</v>
      </c>
      <c r="P36" s="16">
        <v>0</v>
      </c>
      <c r="Q36" s="14">
        <v>0</v>
      </c>
      <c r="R36" s="16">
        <v>0</v>
      </c>
      <c r="S36" s="14">
        <v>0</v>
      </c>
      <c r="T36" s="16">
        <v>0</v>
      </c>
      <c r="U36" s="14">
        <v>0</v>
      </c>
      <c r="V36" s="16">
        <v>0</v>
      </c>
    </row>
    <row r="37" spans="1:22" x14ac:dyDescent="0.25">
      <c r="A37" s="11" t="s">
        <v>170</v>
      </c>
      <c r="B37" s="13">
        <v>2731</v>
      </c>
      <c r="C37" s="14">
        <f>(2297/B37*100)</f>
        <v>84.108385206883924</v>
      </c>
      <c r="D37" s="15">
        <v>434</v>
      </c>
      <c r="E37" s="14">
        <v>3.7926923700000001</v>
      </c>
      <c r="F37" s="16">
        <v>0.72999780999999997</v>
      </c>
      <c r="G37" s="14">
        <v>12.15110477</v>
      </c>
      <c r="H37" s="16">
        <v>1.6302580499999999</v>
      </c>
      <c r="I37" s="14">
        <v>23.745029160000001</v>
      </c>
      <c r="J37" s="16">
        <v>2.1020808400000002</v>
      </c>
      <c r="K37" s="14">
        <v>60.311173709999998</v>
      </c>
      <c r="L37" s="16">
        <v>2.5394663099999999</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2938</v>
      </c>
      <c r="C39" s="14">
        <f>(2412/B39*100)</f>
        <v>82.096664397549361</v>
      </c>
      <c r="D39" s="15">
        <v>526</v>
      </c>
      <c r="E39" s="14">
        <v>10.1386865</v>
      </c>
      <c r="F39" s="16">
        <v>1.63434199</v>
      </c>
      <c r="G39" s="14">
        <v>26.608282379999999</v>
      </c>
      <c r="H39" s="16">
        <v>1.9427001800000001</v>
      </c>
      <c r="I39" s="14">
        <v>32.416589170000002</v>
      </c>
      <c r="J39" s="16">
        <v>1.98741218</v>
      </c>
      <c r="K39" s="14">
        <v>30.836441959999998</v>
      </c>
      <c r="L39" s="16">
        <v>2.1520476500000001</v>
      </c>
      <c r="M39" s="14" t="s">
        <v>139</v>
      </c>
      <c r="N39" s="16" t="s">
        <v>139</v>
      </c>
      <c r="O39" s="14">
        <v>0</v>
      </c>
      <c r="P39" s="16">
        <v>0</v>
      </c>
      <c r="Q39" s="14">
        <v>0</v>
      </c>
      <c r="R39" s="16">
        <v>0</v>
      </c>
      <c r="S39" s="14">
        <v>0</v>
      </c>
      <c r="T39" s="16">
        <v>0</v>
      </c>
      <c r="U39" s="14">
        <v>0</v>
      </c>
      <c r="V39" s="16">
        <v>0</v>
      </c>
    </row>
    <row r="40" spans="1:22" x14ac:dyDescent="0.25">
      <c r="A40" s="11" t="s">
        <v>173</v>
      </c>
      <c r="B40" s="13">
        <v>6922</v>
      </c>
      <c r="C40" s="14">
        <f>(5674/B40*100)</f>
        <v>81.970528748916493</v>
      </c>
      <c r="D40" s="15">
        <v>1248</v>
      </c>
      <c r="E40" s="14">
        <v>4.4158700299999998</v>
      </c>
      <c r="F40" s="16">
        <v>0.95877210000000002</v>
      </c>
      <c r="G40" s="14">
        <v>16.220273339999999</v>
      </c>
      <c r="H40" s="16">
        <v>1.6222154099999999</v>
      </c>
      <c r="I40" s="14">
        <v>23.599377069999999</v>
      </c>
      <c r="J40" s="16">
        <v>1.9329636699999999</v>
      </c>
      <c r="K40" s="14">
        <v>55.764479559999998</v>
      </c>
      <c r="L40" s="16">
        <v>2.1422427000000002</v>
      </c>
      <c r="M40" s="14" t="s">
        <v>139</v>
      </c>
      <c r="N40" s="16" t="s">
        <v>139</v>
      </c>
      <c r="O40" s="14">
        <v>0</v>
      </c>
      <c r="P40" s="16">
        <v>0</v>
      </c>
      <c r="Q40" s="14">
        <v>0</v>
      </c>
      <c r="R40" s="16">
        <v>0</v>
      </c>
      <c r="S40" s="14">
        <v>0</v>
      </c>
      <c r="T40" s="16">
        <v>0</v>
      </c>
      <c r="U40" s="14">
        <v>0</v>
      </c>
      <c r="V40" s="16">
        <v>0</v>
      </c>
    </row>
    <row r="41" spans="1:22" x14ac:dyDescent="0.25">
      <c r="A41" s="11" t="s">
        <v>174</v>
      </c>
      <c r="B41" s="13">
        <v>2854</v>
      </c>
      <c r="C41" s="14">
        <f>(2368/B41*100)</f>
        <v>82.971268395234759</v>
      </c>
      <c r="D41" s="15">
        <v>486</v>
      </c>
      <c r="E41" s="14">
        <v>5.3012183500000001</v>
      </c>
      <c r="F41" s="16">
        <v>1.08622142</v>
      </c>
      <c r="G41" s="14">
        <v>18.761397460000001</v>
      </c>
      <c r="H41" s="16">
        <v>1.8813218300000001</v>
      </c>
      <c r="I41" s="14">
        <v>25.11790933</v>
      </c>
      <c r="J41" s="16">
        <v>1.9367527499999999</v>
      </c>
      <c r="K41" s="14">
        <v>50.819474849999999</v>
      </c>
      <c r="L41" s="16">
        <v>2.71946486</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3612.53125</v>
      </c>
      <c r="C42" s="14">
        <f>IF(COUNT(C7:C41) &gt; 0, AVERAGE(C7:C41), "—")</f>
        <v>83.087425919712501</v>
      </c>
      <c r="D42" s="15">
        <f>IF(COUNT(D7:D41) &gt; 0, AVERAGE(D7:D41), "—")</f>
        <v>612.75</v>
      </c>
      <c r="E42" s="14">
        <f>IF(COUNT(E7:E41) &gt; 0, AVERAGE(E7:E41), "—")</f>
        <v>5.1920638859375003</v>
      </c>
      <c r="F42" s="16">
        <f>IF(COUNT(F7:F41) &gt; 0, SQRT(SUMSQ(F7:F41)/(COUNT(F7:F41)*COUNT(F7:F41)) ), "—")</f>
        <v>0.18940810078211126</v>
      </c>
      <c r="G42" s="14">
        <f>IF(COUNT(G7:G41) &gt; 0, AVERAGE(G7:G41), "—")</f>
        <v>16.503338715312502</v>
      </c>
      <c r="H42" s="16">
        <f>IF(COUNT(H7:H41) &gt; 0, SQRT(SUMSQ(H7:H41)/(COUNT(H7:H41)*COUNT(H7:H41)) ), "—")</f>
        <v>0.30970952823334119</v>
      </c>
      <c r="I42" s="14">
        <f>IF(COUNT(I7:I41) &gt; 0, AVERAGE(I7:I41), "—")</f>
        <v>25.029134213437494</v>
      </c>
      <c r="J42" s="16">
        <f>IF(COUNT(J7:J41) &gt; 0, SQRT(SUMSQ(J7:J41)/(COUNT(J7:J41)*COUNT(J7:J41)) ), "—")</f>
        <v>0.35812157837250475</v>
      </c>
      <c r="K42" s="14">
        <f>IF(COUNT(K7:K41) &gt; 0, AVERAGE(K7:K41), "—")</f>
        <v>53.275463185312503</v>
      </c>
      <c r="L42" s="16">
        <f>IF(COUNT(L7:L41) &gt; 0, SQRT(SUMSQ(L7:L41)/(COUNT(L7:L41)*COUNT(L7:L41)) ), "—")</f>
        <v>0.41960160667735308</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12073</v>
      </c>
      <c r="C46" s="14">
        <f>(10347/B46*100)</f>
        <v>85.703636213037356</v>
      </c>
      <c r="D46" s="15">
        <v>1726</v>
      </c>
      <c r="E46" s="14">
        <v>14.248411949999999</v>
      </c>
      <c r="F46" s="16">
        <v>1.22334689</v>
      </c>
      <c r="G46" s="14">
        <v>32.323222739999999</v>
      </c>
      <c r="H46" s="16">
        <v>1.5565108400000001</v>
      </c>
      <c r="I46" s="14">
        <v>27.760031420000001</v>
      </c>
      <c r="J46" s="16">
        <v>1.49057748</v>
      </c>
      <c r="K46" s="14">
        <v>25.66833389</v>
      </c>
      <c r="L46" s="16">
        <v>1.36535517</v>
      </c>
      <c r="M46" s="14" t="s">
        <v>139</v>
      </c>
      <c r="N46" s="16" t="s">
        <v>139</v>
      </c>
      <c r="O46" s="14">
        <v>0</v>
      </c>
      <c r="P46" s="16">
        <v>0</v>
      </c>
      <c r="Q46" s="14">
        <v>0</v>
      </c>
      <c r="R46" s="16">
        <v>0</v>
      </c>
      <c r="S46" s="14">
        <v>0</v>
      </c>
      <c r="T46" s="16">
        <v>0</v>
      </c>
      <c r="U46" s="14">
        <v>0</v>
      </c>
      <c r="V46" s="16">
        <v>0</v>
      </c>
    </row>
    <row r="47" spans="1:22" x14ac:dyDescent="0.25">
      <c r="A47" s="11" t="s">
        <v>180</v>
      </c>
      <c r="B47" s="13">
        <v>2823</v>
      </c>
      <c r="C47" s="14">
        <f>(2362/B47*100)</f>
        <v>83.669854764435001</v>
      </c>
      <c r="D47" s="15">
        <v>461</v>
      </c>
      <c r="E47" s="14">
        <v>8.5950849300000005</v>
      </c>
      <c r="F47" s="16">
        <v>1.26359295</v>
      </c>
      <c r="G47" s="14">
        <v>23.49290216</v>
      </c>
      <c r="H47" s="16">
        <v>1.8121035700000001</v>
      </c>
      <c r="I47" s="14">
        <v>27.897618009999999</v>
      </c>
      <c r="J47" s="16">
        <v>2.10041805</v>
      </c>
      <c r="K47" s="14">
        <v>40.014394899999999</v>
      </c>
      <c r="L47" s="16">
        <v>2.1651986999999999</v>
      </c>
      <c r="M47" s="14" t="s">
        <v>139</v>
      </c>
      <c r="N47" s="16" t="s">
        <v>139</v>
      </c>
      <c r="O47" s="14">
        <v>0</v>
      </c>
      <c r="P47" s="16">
        <v>0</v>
      </c>
      <c r="Q47" s="14">
        <v>0</v>
      </c>
      <c r="R47" s="16">
        <v>0</v>
      </c>
      <c r="S47" s="14">
        <v>0</v>
      </c>
      <c r="T47" s="16">
        <v>0</v>
      </c>
      <c r="U47" s="14">
        <v>0</v>
      </c>
      <c r="V47" s="16">
        <v>0</v>
      </c>
    </row>
    <row r="48" spans="1:22" x14ac:dyDescent="0.25">
      <c r="A48" s="11" t="s">
        <v>181</v>
      </c>
      <c r="B48" s="13">
        <v>4682</v>
      </c>
      <c r="C48" s="14">
        <f>(3862/B48*100)</f>
        <v>82.486117043998291</v>
      </c>
      <c r="D48" s="15">
        <v>820</v>
      </c>
      <c r="E48" s="14">
        <v>5.4313331099999997</v>
      </c>
      <c r="F48" s="16">
        <v>1.0598067900000001</v>
      </c>
      <c r="G48" s="14">
        <v>15.65103766</v>
      </c>
      <c r="H48" s="16">
        <v>1.59558551</v>
      </c>
      <c r="I48" s="14">
        <v>25.615136629999999</v>
      </c>
      <c r="J48" s="16">
        <v>2.1117125899999998</v>
      </c>
      <c r="K48" s="14">
        <v>53.302492610000002</v>
      </c>
      <c r="L48" s="16">
        <v>2.54071589</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6158</v>
      </c>
      <c r="C50" s="14">
        <f>(5140/B50*100)</f>
        <v>83.468658655407609</v>
      </c>
      <c r="D50" s="15">
        <v>1018</v>
      </c>
      <c r="E50" s="14">
        <v>10.14591383</v>
      </c>
      <c r="F50" s="16">
        <v>1.31911932</v>
      </c>
      <c r="G50" s="14">
        <v>28.511541220000002</v>
      </c>
      <c r="H50" s="16">
        <v>1.76022397</v>
      </c>
      <c r="I50" s="14">
        <v>30.218722110000002</v>
      </c>
      <c r="J50" s="16">
        <v>1.9941860199999999</v>
      </c>
      <c r="K50" s="14">
        <v>31.123822839999999</v>
      </c>
      <c r="L50" s="16">
        <v>1.8592803099999999</v>
      </c>
      <c r="M50" s="14" t="s">
        <v>139</v>
      </c>
      <c r="N50" s="16" t="s">
        <v>139</v>
      </c>
      <c r="O50" s="14">
        <v>0</v>
      </c>
      <c r="P50" s="16">
        <v>0</v>
      </c>
      <c r="Q50" s="14">
        <v>0</v>
      </c>
      <c r="R50" s="16">
        <v>0</v>
      </c>
      <c r="S50" s="14">
        <v>0</v>
      </c>
      <c r="T50" s="16">
        <v>0</v>
      </c>
      <c r="U50" s="14">
        <v>0</v>
      </c>
      <c r="V50" s="16">
        <v>0</v>
      </c>
    </row>
    <row r="51" spans="1:22" x14ac:dyDescent="0.25">
      <c r="A51" s="11" t="s">
        <v>184</v>
      </c>
      <c r="B51" s="13">
        <v>3494</v>
      </c>
      <c r="C51" s="14">
        <f>(2981/B51*100)</f>
        <v>85.317687464224392</v>
      </c>
      <c r="D51" s="15">
        <v>513</v>
      </c>
      <c r="E51" s="14">
        <v>9.7394381600000006</v>
      </c>
      <c r="F51" s="16">
        <v>1.2941875599999999</v>
      </c>
      <c r="G51" s="14">
        <v>28.561138320000001</v>
      </c>
      <c r="H51" s="16">
        <v>1.84108714</v>
      </c>
      <c r="I51" s="14">
        <v>29.663457340000001</v>
      </c>
      <c r="J51" s="16">
        <v>1.85092364</v>
      </c>
      <c r="K51" s="14">
        <v>32.035966180000003</v>
      </c>
      <c r="L51" s="16">
        <v>2.4581311299999999</v>
      </c>
      <c r="M51" s="14" t="s">
        <v>139</v>
      </c>
      <c r="N51" s="16" t="s">
        <v>139</v>
      </c>
      <c r="O51" s="14">
        <v>0</v>
      </c>
      <c r="P51" s="16">
        <v>0</v>
      </c>
      <c r="Q51" s="14">
        <v>0</v>
      </c>
      <c r="R51" s="16">
        <v>0</v>
      </c>
      <c r="S51" s="14">
        <v>0</v>
      </c>
      <c r="T51" s="16">
        <v>0</v>
      </c>
      <c r="U51" s="14">
        <v>0</v>
      </c>
      <c r="V51" s="16">
        <v>0</v>
      </c>
    </row>
    <row r="52" spans="1:22" x14ac:dyDescent="0.25">
      <c r="A52" s="11" t="s">
        <v>185</v>
      </c>
      <c r="B52" s="13">
        <v>3013</v>
      </c>
      <c r="C52" s="14">
        <f>(2497/B52*100)</f>
        <v>82.874211749087294</v>
      </c>
      <c r="D52" s="15">
        <v>516</v>
      </c>
      <c r="E52" s="14">
        <v>5.3224481099999998</v>
      </c>
      <c r="F52" s="16">
        <v>1.1365891100000001</v>
      </c>
      <c r="G52" s="14">
        <v>25.525107980000001</v>
      </c>
      <c r="H52" s="16">
        <v>2.4346046100000001</v>
      </c>
      <c r="I52" s="14">
        <v>27.22768465</v>
      </c>
      <c r="J52" s="16">
        <v>2.3354373599999998</v>
      </c>
      <c r="K52" s="14">
        <v>41.924759250000001</v>
      </c>
      <c r="L52" s="16">
        <v>2.25096184</v>
      </c>
      <c r="M52" s="14" t="s">
        <v>139</v>
      </c>
      <c r="N52" s="16" t="s">
        <v>139</v>
      </c>
      <c r="O52" s="14">
        <v>0</v>
      </c>
      <c r="P52" s="16">
        <v>0</v>
      </c>
      <c r="Q52" s="14">
        <v>0</v>
      </c>
      <c r="R52" s="16">
        <v>0</v>
      </c>
      <c r="S52" s="14">
        <v>0</v>
      </c>
      <c r="T52" s="16">
        <v>0</v>
      </c>
      <c r="U52" s="14">
        <v>0</v>
      </c>
      <c r="V52" s="16">
        <v>0</v>
      </c>
    </row>
    <row r="53" spans="1:22" x14ac:dyDescent="0.25">
      <c r="A53" s="11" t="s">
        <v>186</v>
      </c>
      <c r="B53" s="13">
        <v>2760</v>
      </c>
      <c r="C53" s="14">
        <f>(2276/B53*100)</f>
        <v>82.463768115942031</v>
      </c>
      <c r="D53" s="15">
        <v>484</v>
      </c>
      <c r="E53" s="14">
        <v>8.1672324700000001</v>
      </c>
      <c r="F53" s="16">
        <v>1.1238360999999999</v>
      </c>
      <c r="G53" s="14">
        <v>24.6695332</v>
      </c>
      <c r="H53" s="16">
        <v>2.0065487200000001</v>
      </c>
      <c r="I53" s="14">
        <v>30.12127534</v>
      </c>
      <c r="J53" s="16">
        <v>2.4585344</v>
      </c>
      <c r="K53" s="14">
        <v>37.041958979999997</v>
      </c>
      <c r="L53" s="16">
        <v>2.4763400600000001</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2675</v>
      </c>
      <c r="C56" s="14">
        <f>(2204/B56*100)</f>
        <v>82.392523364485982</v>
      </c>
      <c r="D56" s="15">
        <v>471</v>
      </c>
      <c r="E56" s="14">
        <v>2.04604323</v>
      </c>
      <c r="F56" s="16">
        <v>0.82875977000000001</v>
      </c>
      <c r="G56" s="14">
        <v>13.48758057</v>
      </c>
      <c r="H56" s="16">
        <v>1.5317399199999999</v>
      </c>
      <c r="I56" s="14">
        <v>25.061405730000001</v>
      </c>
      <c r="J56" s="16">
        <v>2.2756463500000002</v>
      </c>
      <c r="K56" s="14">
        <v>59.404970470000002</v>
      </c>
      <c r="L56" s="16">
        <v>2.7036758700000001</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3201</v>
      </c>
      <c r="C61" s="14">
        <f>(2645/B61*100)</f>
        <v>82.630427991252731</v>
      </c>
      <c r="D61" s="15">
        <v>556</v>
      </c>
      <c r="E61" s="14">
        <v>6.3758974400000001</v>
      </c>
      <c r="F61" s="16">
        <v>1.0176954</v>
      </c>
      <c r="G61" s="14">
        <v>22.231670139999999</v>
      </c>
      <c r="H61" s="16">
        <v>2.0425714500000001</v>
      </c>
      <c r="I61" s="14">
        <v>30.086355139999998</v>
      </c>
      <c r="J61" s="16">
        <v>2.2122717600000001</v>
      </c>
      <c r="K61" s="14">
        <v>41.306077279999997</v>
      </c>
      <c r="L61" s="16">
        <v>2.3062344000000001</v>
      </c>
      <c r="M61" s="14" t="s">
        <v>139</v>
      </c>
      <c r="N61" s="16" t="s">
        <v>139</v>
      </c>
      <c r="O61" s="14">
        <v>0</v>
      </c>
      <c r="P61" s="16">
        <v>0</v>
      </c>
      <c r="Q61" s="14">
        <v>0</v>
      </c>
      <c r="R61" s="16">
        <v>0</v>
      </c>
      <c r="S61" s="14">
        <v>0</v>
      </c>
      <c r="T61" s="16">
        <v>0</v>
      </c>
      <c r="U61" s="14">
        <v>0</v>
      </c>
      <c r="V61" s="16">
        <v>0</v>
      </c>
    </row>
    <row r="62" spans="1:22" x14ac:dyDescent="0.25">
      <c r="A62" s="11" t="s">
        <v>195</v>
      </c>
      <c r="B62" s="13">
        <v>2230</v>
      </c>
      <c r="C62" s="14">
        <f>(1838/B62*100)</f>
        <v>82.421524663677133</v>
      </c>
      <c r="D62" s="15">
        <v>392</v>
      </c>
      <c r="E62" s="14">
        <v>1.52551865</v>
      </c>
      <c r="F62" s="16">
        <v>0.61930085000000001</v>
      </c>
      <c r="G62" s="14">
        <v>9.2388389199999992</v>
      </c>
      <c r="H62" s="16">
        <v>1.6382798199999999</v>
      </c>
      <c r="I62" s="14">
        <v>21.4180761</v>
      </c>
      <c r="J62" s="16">
        <v>2.3076379</v>
      </c>
      <c r="K62" s="14">
        <v>67.817566319999997</v>
      </c>
      <c r="L62" s="16">
        <v>2.4870145799999999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2771</v>
      </c>
      <c r="C66" s="14">
        <f>(2307/B66*100)</f>
        <v>83.255142547816675</v>
      </c>
      <c r="D66" s="15">
        <v>464</v>
      </c>
      <c r="E66" s="14">
        <v>11.216712810000001</v>
      </c>
      <c r="F66" s="16">
        <v>1.78957861</v>
      </c>
      <c r="G66" s="14">
        <v>30.574993979999999</v>
      </c>
      <c r="H66" s="16">
        <v>1.83551763</v>
      </c>
      <c r="I66" s="14">
        <v>29.07311116</v>
      </c>
      <c r="J66" s="16">
        <v>2.1945901299999999</v>
      </c>
      <c r="K66" s="14">
        <v>29.135182050000001</v>
      </c>
      <c r="L66" s="16">
        <v>2.2694059599999998</v>
      </c>
      <c r="M66" s="14" t="s">
        <v>139</v>
      </c>
      <c r="N66" s="16" t="s">
        <v>139</v>
      </c>
      <c r="O66" s="14">
        <v>0</v>
      </c>
      <c r="P66" s="16">
        <v>0</v>
      </c>
      <c r="Q66" s="14">
        <v>0</v>
      </c>
      <c r="R66" s="16">
        <v>0</v>
      </c>
      <c r="S66" s="14">
        <v>0</v>
      </c>
      <c r="T66" s="16">
        <v>0</v>
      </c>
      <c r="U66" s="14">
        <v>0</v>
      </c>
      <c r="V66" s="16">
        <v>0</v>
      </c>
    </row>
    <row r="67" spans="1:22" x14ac:dyDescent="0.25">
      <c r="A67" s="11" t="s">
        <v>200</v>
      </c>
      <c r="B67" s="13">
        <v>3460</v>
      </c>
      <c r="C67" s="14">
        <f>(2913/B67*100)</f>
        <v>84.190751445086704</v>
      </c>
      <c r="D67" s="15">
        <v>547</v>
      </c>
      <c r="E67" s="14">
        <v>10.982969929999999</v>
      </c>
      <c r="F67" s="16">
        <v>1.4760087</v>
      </c>
      <c r="G67" s="14">
        <v>26.367792250000001</v>
      </c>
      <c r="H67" s="16">
        <v>2.2632842700000002</v>
      </c>
      <c r="I67" s="14">
        <v>28.347487650000001</v>
      </c>
      <c r="J67" s="16">
        <v>1.99079187</v>
      </c>
      <c r="K67" s="14">
        <v>34.301750169999998</v>
      </c>
      <c r="L67" s="16">
        <v>2.4045485700000002</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3107</v>
      </c>
      <c r="C70" s="14">
        <f>(2581/B70*100)</f>
        <v>83.070485999356293</v>
      </c>
      <c r="D70" s="15">
        <v>526</v>
      </c>
      <c r="E70" s="14">
        <v>6.87897084</v>
      </c>
      <c r="F70" s="16">
        <v>1.39868879</v>
      </c>
      <c r="G70" s="14">
        <v>16.990067849999999</v>
      </c>
      <c r="H70" s="16">
        <v>2.1565185599999999</v>
      </c>
      <c r="I70" s="14">
        <v>28.82358224</v>
      </c>
      <c r="J70" s="16">
        <v>1.9589248699999999</v>
      </c>
      <c r="K70" s="14">
        <v>47.307379060000002</v>
      </c>
      <c r="L70" s="16">
        <v>2.3509845899999999</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3819</v>
      </c>
      <c r="C72" s="14">
        <f>(3164/B72*100)</f>
        <v>82.848913328096359</v>
      </c>
      <c r="D72" s="15">
        <v>655</v>
      </c>
      <c r="E72" s="14">
        <v>3.5567174600000002</v>
      </c>
      <c r="F72" s="16">
        <v>0.70644773000000005</v>
      </c>
      <c r="G72" s="14">
        <v>11.419402440000001</v>
      </c>
      <c r="H72" s="16">
        <v>1.3349812999999999</v>
      </c>
      <c r="I72" s="14">
        <v>24.909119570000001</v>
      </c>
      <c r="J72" s="16">
        <v>1.82929338</v>
      </c>
      <c r="K72" s="14">
        <v>60.114760529999998</v>
      </c>
      <c r="L72" s="16">
        <v>2.15109466</v>
      </c>
      <c r="M72" s="14" t="s">
        <v>139</v>
      </c>
      <c r="N72" s="16" t="s">
        <v>139</v>
      </c>
      <c r="O72" s="14">
        <v>0</v>
      </c>
      <c r="P72" s="16">
        <v>0</v>
      </c>
      <c r="Q72" s="14">
        <v>0</v>
      </c>
      <c r="R72" s="16">
        <v>0</v>
      </c>
      <c r="S72" s="14">
        <v>0</v>
      </c>
      <c r="T72" s="16">
        <v>0</v>
      </c>
      <c r="U72" s="14">
        <v>0</v>
      </c>
      <c r="V72" s="16">
        <v>0</v>
      </c>
    </row>
    <row r="73" spans="1:22" x14ac:dyDescent="0.25">
      <c r="A73" s="11" t="s">
        <v>206</v>
      </c>
      <c r="B73" s="13">
        <v>4652</v>
      </c>
      <c r="C73" s="14">
        <f>(3905/B73*100)</f>
        <v>83.942390369733445</v>
      </c>
      <c r="D73" s="15">
        <v>747</v>
      </c>
      <c r="E73" s="14">
        <v>10.929806210000001</v>
      </c>
      <c r="F73" s="16">
        <v>1.3918841</v>
      </c>
      <c r="G73" s="14">
        <v>23.168867079999998</v>
      </c>
      <c r="H73" s="16">
        <v>2.1875921599999999</v>
      </c>
      <c r="I73" s="14">
        <v>27.768110669999999</v>
      </c>
      <c r="J73" s="16">
        <v>1.9457132500000001</v>
      </c>
      <c r="K73" s="14">
        <v>38.133216040000001</v>
      </c>
      <c r="L73" s="16">
        <v>2.3563988299999998</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2969</v>
      </c>
      <c r="C75" s="14">
        <f>(2488/B75*100)</f>
        <v>83.799259009767596</v>
      </c>
      <c r="D75" s="15">
        <v>481</v>
      </c>
      <c r="E75" s="14">
        <v>18.374030940000001</v>
      </c>
      <c r="F75" s="16">
        <v>1.66868273</v>
      </c>
      <c r="G75" s="14">
        <v>33.999170849999999</v>
      </c>
      <c r="H75" s="16">
        <v>2.4341706099999998</v>
      </c>
      <c r="I75" s="14">
        <v>29.669664489999999</v>
      </c>
      <c r="J75" s="16">
        <v>2.2251379</v>
      </c>
      <c r="K75" s="14">
        <v>17.957133710000001</v>
      </c>
      <c r="L75" s="16">
        <v>2.1741467999999999</v>
      </c>
      <c r="M75" s="14" t="s">
        <v>139</v>
      </c>
      <c r="N75" s="16" t="s">
        <v>139</v>
      </c>
      <c r="O75" s="14">
        <v>0</v>
      </c>
      <c r="P75" s="16">
        <v>0</v>
      </c>
      <c r="Q75" s="14">
        <v>0</v>
      </c>
      <c r="R75" s="16">
        <v>0</v>
      </c>
      <c r="S75" s="14">
        <v>0</v>
      </c>
      <c r="T75" s="16">
        <v>0</v>
      </c>
      <c r="U75" s="14">
        <v>0</v>
      </c>
      <c r="V75" s="16">
        <v>0</v>
      </c>
    </row>
    <row r="76" spans="1:22" x14ac:dyDescent="0.25">
      <c r="A76" s="11" t="s">
        <v>209</v>
      </c>
      <c r="B76" s="13">
        <v>7115</v>
      </c>
      <c r="C76" s="14">
        <f>(5912/B76*100)</f>
        <v>83.09205903021784</v>
      </c>
      <c r="D76" s="15">
        <v>1203</v>
      </c>
      <c r="E76" s="14">
        <v>11.86959805</v>
      </c>
      <c r="F76" s="16">
        <v>1.1025618800000001</v>
      </c>
      <c r="G76" s="14">
        <v>28.01255394</v>
      </c>
      <c r="H76" s="16">
        <v>1.4706731</v>
      </c>
      <c r="I76" s="14">
        <v>27.030284680000001</v>
      </c>
      <c r="J76" s="16">
        <v>1.5273247400000001</v>
      </c>
      <c r="K76" s="14">
        <v>33.087563330000002</v>
      </c>
      <c r="L76" s="16">
        <v>1.89720708</v>
      </c>
      <c r="M76" s="14" t="s">
        <v>139</v>
      </c>
      <c r="N76" s="16" t="s">
        <v>139</v>
      </c>
      <c r="O76" s="14">
        <v>0</v>
      </c>
      <c r="P76" s="16">
        <v>0</v>
      </c>
      <c r="Q76" s="14">
        <v>0</v>
      </c>
      <c r="R76" s="16">
        <v>0</v>
      </c>
      <c r="S76" s="14">
        <v>0</v>
      </c>
      <c r="T76" s="16">
        <v>0</v>
      </c>
      <c r="U76" s="14">
        <v>0</v>
      </c>
      <c r="V76" s="16">
        <v>0</v>
      </c>
    </row>
    <row r="77" spans="1:22" x14ac:dyDescent="0.25">
      <c r="A77" s="11" t="s">
        <v>210</v>
      </c>
      <c r="B77" s="13">
        <v>3154</v>
      </c>
      <c r="C77" s="14">
        <f>(2621/B77*100)</f>
        <v>83.100824350031715</v>
      </c>
      <c r="D77" s="15">
        <v>533</v>
      </c>
      <c r="E77" s="14">
        <v>9.5431950600000004</v>
      </c>
      <c r="F77" s="16">
        <v>1.3493802699999999</v>
      </c>
      <c r="G77" s="14">
        <v>29.601359909999999</v>
      </c>
      <c r="H77" s="16">
        <v>2.0215087500000002</v>
      </c>
      <c r="I77" s="14">
        <v>23.549972350000001</v>
      </c>
      <c r="J77" s="16">
        <v>1.83693884</v>
      </c>
      <c r="K77" s="14">
        <v>37.305472680000001</v>
      </c>
      <c r="L77" s="16">
        <v>2.1949037900000001</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4698</v>
      </c>
      <c r="C81" s="14">
        <f>(3883/B81*100)</f>
        <v>82.652192422307365</v>
      </c>
      <c r="D81" s="15">
        <v>815</v>
      </c>
      <c r="E81" s="14">
        <v>8.6344969099999993</v>
      </c>
      <c r="F81" s="16">
        <v>1.29129274</v>
      </c>
      <c r="G81" s="14">
        <v>25.794854749999999</v>
      </c>
      <c r="H81" s="16">
        <v>1.9200277100000001</v>
      </c>
      <c r="I81" s="14">
        <v>25.59656318</v>
      </c>
      <c r="J81" s="16">
        <v>1.88433323</v>
      </c>
      <c r="K81" s="14">
        <v>39.974085160000001</v>
      </c>
      <c r="L81" s="16">
        <v>2.2790049300000002</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(5961/B7*100)</f>
        <v>83.219321513332403</v>
      </c>
      <c r="D7" s="15">
        <v>1202</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3443</v>
      </c>
      <c r="C8" s="14">
        <f>(2861/B8*100)</f>
        <v>83.096137089747316</v>
      </c>
      <c r="D8" s="15">
        <v>582</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4752</v>
      </c>
      <c r="C9" s="14">
        <f>(3926/B9*100)</f>
        <v>82.617845117845107</v>
      </c>
      <c r="D9" s="15">
        <v>826</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10022</v>
      </c>
      <c r="C10" s="14">
        <f>(8277/B10*100)</f>
        <v>82.588305727399728</v>
      </c>
      <c r="D10" s="15">
        <v>1745</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3500</v>
      </c>
      <c r="C11" s="14">
        <f>(2903/B11*100)</f>
        <v>82.942857142857136</v>
      </c>
      <c r="D11" s="15">
        <v>597</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3422</v>
      </c>
      <c r="C12" s="14">
        <f>(2853/B12*100)</f>
        <v>83.372296902396258</v>
      </c>
      <c r="D12" s="15">
        <v>569</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3602</v>
      </c>
      <c r="C13" s="14">
        <f>(3015/B13*100)</f>
        <v>83.703498056635212</v>
      </c>
      <c r="D13" s="15">
        <v>587</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2788</v>
      </c>
      <c r="C14" s="14">
        <f>(2313/B14*100)</f>
        <v>82.962697274031555</v>
      </c>
      <c r="D14" s="15">
        <v>475</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2863</v>
      </c>
      <c r="C15" s="14">
        <f>(2383/B15*100)</f>
        <v>83.234369542438003</v>
      </c>
      <c r="D15" s="15">
        <v>480</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3111</v>
      </c>
      <c r="C16" s="14">
        <f>(2565/B16*100)</f>
        <v>82.44937319189971</v>
      </c>
      <c r="D16" s="15">
        <v>546</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3197</v>
      </c>
      <c r="C17" s="14">
        <f>(2643/B17*100)</f>
        <v>82.671254300907108</v>
      </c>
      <c r="D17" s="15">
        <v>554</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2706</v>
      </c>
      <c r="C18" s="14">
        <f>(2233/B18*100)</f>
        <v>82.520325203252028</v>
      </c>
      <c r="D18" s="15">
        <v>473</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2850</v>
      </c>
      <c r="C19" s="14">
        <f>(2373/B19*100)</f>
        <v>83.263157894736835</v>
      </c>
      <c r="D19" s="15">
        <v>477</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1741</v>
      </c>
      <c r="C20" s="14">
        <f>(1445/B20*100)</f>
        <v>82.998276852383697</v>
      </c>
      <c r="D20" s="15">
        <v>296</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(3120/B22*100)</f>
        <v>85.083174256885741</v>
      </c>
      <c r="D22" s="15">
        <v>547</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5792</v>
      </c>
      <c r="C23" s="14">
        <f>(4796/B23*100)</f>
        <v>82.803867403314911</v>
      </c>
      <c r="D23" s="15">
        <v>996</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3309</v>
      </c>
      <c r="C24" s="14">
        <f>(2743/B24*100)</f>
        <v>82.895134481716525</v>
      </c>
      <c r="D24" s="15">
        <v>566</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2669</v>
      </c>
      <c r="C25" s="14">
        <f>(2210/B25*100)</f>
        <v>82.802547770700642</v>
      </c>
      <c r="D25" s="15">
        <v>459</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2419</v>
      </c>
      <c r="C26" s="14">
        <f>(1999/B26*100)</f>
        <v>82.637453493179009</v>
      </c>
      <c r="D26" s="15">
        <v>420</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2683</v>
      </c>
      <c r="C27" s="14">
        <f>(2225/B27*100)</f>
        <v>82.929556466641813</v>
      </c>
      <c r="D27" s="15">
        <v>458</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3803</v>
      </c>
      <c r="C28" s="14">
        <f>(3220/B28*100)</f>
        <v>84.669997370496972</v>
      </c>
      <c r="D28" s="15">
        <v>583</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2700</v>
      </c>
      <c r="C29" s="14">
        <f>(2246/B29*100)</f>
        <v>83.18518518518519</v>
      </c>
      <c r="D29" s="15">
        <v>454</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2257</v>
      </c>
      <c r="C30" s="14">
        <f>(1881/B30*100)</f>
        <v>83.340717766947265</v>
      </c>
      <c r="D30" s="15">
        <v>376</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2706</v>
      </c>
      <c r="C31" s="14">
        <f>(2247/B31*100)</f>
        <v>83.037694013303764</v>
      </c>
      <c r="D31" s="15">
        <v>459</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(3043/B33*100)</f>
        <v>83.347028211448915</v>
      </c>
      <c r="D33" s="15">
        <v>608</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3035</v>
      </c>
      <c r="C34" s="14">
        <f>(2543/B34*100)</f>
        <v>83.789126853377255</v>
      </c>
      <c r="D34" s="15">
        <v>492</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2901</v>
      </c>
      <c r="C35" s="14">
        <f>(2395/B35*100)</f>
        <v>82.55773871078938</v>
      </c>
      <c r="D35" s="15">
        <v>506</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3404</v>
      </c>
      <c r="C36" s="14">
        <f>(2823/B36*100)</f>
        <v>82.931844888366626</v>
      </c>
      <c r="D36" s="15">
        <v>581</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2731</v>
      </c>
      <c r="C37" s="14">
        <f>(2297/B37*100)</f>
        <v>84.108385206883924</v>
      </c>
      <c r="D37" s="15">
        <v>434</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6922</v>
      </c>
      <c r="C40" s="14">
        <f>(5674/B40*100)</f>
        <v>81.970528748916493</v>
      </c>
      <c r="D40" s="15">
        <v>1248</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2854</v>
      </c>
      <c r="C41" s="14">
        <f>(2368/B41*100)</f>
        <v>82.971268395234759</v>
      </c>
      <c r="D41" s="15">
        <v>486</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3612.53125</v>
      </c>
      <c r="C42" s="14">
        <f>IF(COUNT(C7:C41) &gt; 0, AVERAGE(C7:C41), "—")</f>
        <v>83.087425919712501</v>
      </c>
      <c r="D42" s="15">
        <f>IF(COUNT(D7:D41) &gt; 0, AVERAGE(D7:D41), "—")</f>
        <v>612.75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(10347/B46*100)</f>
        <v>85.703636213037356</v>
      </c>
      <c r="D46" s="15">
        <v>1726</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2823</v>
      </c>
      <c r="C47" s="14">
        <f>(2362/B47*100)</f>
        <v>83.669854764435001</v>
      </c>
      <c r="D47" s="15">
        <v>461</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4682</v>
      </c>
      <c r="C48" s="14">
        <f>(3862/B48*100)</f>
        <v>82.486117043998291</v>
      </c>
      <c r="D48" s="15">
        <v>820</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(5140/B50*100)</f>
        <v>83.468658655407609</v>
      </c>
      <c r="D50" s="15">
        <v>1018</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3494</v>
      </c>
      <c r="C51" s="14">
        <f>(2981/B51*100)</f>
        <v>85.317687464224392</v>
      </c>
      <c r="D51" s="15">
        <v>513</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3013</v>
      </c>
      <c r="C52" s="14">
        <f>(2497/B52*100)</f>
        <v>82.874211749087294</v>
      </c>
      <c r="D52" s="15">
        <v>516</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2760</v>
      </c>
      <c r="C53" s="14">
        <f>(2276/B53*100)</f>
        <v>82.463768115942031</v>
      </c>
      <c r="D53" s="15">
        <v>484</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2230</v>
      </c>
      <c r="C62" s="14">
        <f>(1838/B62*100)</f>
        <v>82.421524663677133</v>
      </c>
      <c r="D62" s="15">
        <v>392</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(2307/B66*100)</f>
        <v>83.255142547816675</v>
      </c>
      <c r="D66" s="15">
        <v>464</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3460</v>
      </c>
      <c r="C67" s="14">
        <f>(2913/B67*100)</f>
        <v>84.190751445086704</v>
      </c>
      <c r="D67" s="15">
        <v>547</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(2581/B70*100)</f>
        <v>83.070485999356293</v>
      </c>
      <c r="D70" s="15">
        <v>526</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4652</v>
      </c>
      <c r="C73" s="14">
        <f>(3905/B73*100)</f>
        <v>83.942390369733445</v>
      </c>
      <c r="D73" s="15">
        <v>747</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(2488/B75*100)</f>
        <v>83.799259009767596</v>
      </c>
      <c r="D75" s="15">
        <v>481</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7115</v>
      </c>
      <c r="C76" s="14">
        <f>(5912/B76*100)</f>
        <v>83.09205903021784</v>
      </c>
      <c r="D76" s="15">
        <v>1203</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3154</v>
      </c>
      <c r="C77" s="14">
        <f>(2621/B77*100)</f>
        <v>83.100824350031715</v>
      </c>
      <c r="D77" s="15">
        <v>533</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(3883/B81*100)</f>
        <v>82.652192422307365</v>
      </c>
      <c r="D81" s="15">
        <v>815</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(5961/B7*100)</f>
        <v>83.219321513332403</v>
      </c>
      <c r="D7" s="15">
        <v>1202</v>
      </c>
      <c r="E7" s="14">
        <v>23.248237450000001</v>
      </c>
      <c r="F7" s="16">
        <v>1.3575316100000001</v>
      </c>
      <c r="G7" s="14">
        <v>76.751762549999995</v>
      </c>
      <c r="H7" s="16">
        <v>1.3575316100000001</v>
      </c>
      <c r="I7" s="14" t="s">
        <v>139</v>
      </c>
      <c r="J7" s="16" t="s">
        <v>139</v>
      </c>
      <c r="K7" s="14">
        <v>0</v>
      </c>
      <c r="L7" s="16">
        <v>0</v>
      </c>
      <c r="M7" s="14">
        <v>0</v>
      </c>
      <c r="N7" s="16">
        <v>0</v>
      </c>
      <c r="O7" s="14">
        <v>0</v>
      </c>
      <c r="P7" s="16">
        <v>0</v>
      </c>
      <c r="Q7" s="14">
        <v>0</v>
      </c>
      <c r="R7" s="16">
        <v>0</v>
      </c>
    </row>
    <row r="8" spans="1:18" x14ac:dyDescent="0.25">
      <c r="A8" s="11" t="s">
        <v>140</v>
      </c>
      <c r="B8" s="13">
        <v>3443</v>
      </c>
      <c r="C8" s="14">
        <f>(2861/B8*100)</f>
        <v>83.096137089747316</v>
      </c>
      <c r="D8" s="15">
        <v>582</v>
      </c>
      <c r="E8" s="14">
        <v>25.152477399999999</v>
      </c>
      <c r="F8" s="16">
        <v>2.2459560600000001</v>
      </c>
      <c r="G8" s="14">
        <v>74.847522600000005</v>
      </c>
      <c r="H8" s="16">
        <v>2.2459560600000001</v>
      </c>
      <c r="I8" s="14" t="s">
        <v>139</v>
      </c>
      <c r="J8" s="16" t="s">
        <v>139</v>
      </c>
      <c r="K8" s="14">
        <v>0</v>
      </c>
      <c r="L8" s="16">
        <v>0</v>
      </c>
      <c r="M8" s="14">
        <v>0</v>
      </c>
      <c r="N8" s="16">
        <v>0</v>
      </c>
      <c r="O8" s="14">
        <v>0</v>
      </c>
      <c r="P8" s="16">
        <v>0</v>
      </c>
      <c r="Q8" s="14">
        <v>0</v>
      </c>
      <c r="R8" s="16">
        <v>0</v>
      </c>
    </row>
    <row r="9" spans="1:18" x14ac:dyDescent="0.25">
      <c r="A9" s="11" t="s">
        <v>141</v>
      </c>
      <c r="B9" s="13">
        <v>4752</v>
      </c>
      <c r="C9" s="14">
        <f>(3926/B9*100)</f>
        <v>82.617845117845107</v>
      </c>
      <c r="D9" s="15">
        <v>826</v>
      </c>
      <c r="E9" s="14">
        <v>21.48545227</v>
      </c>
      <c r="F9" s="16">
        <v>1.5179217700000001</v>
      </c>
      <c r="G9" s="14">
        <v>78.514547730000004</v>
      </c>
      <c r="H9" s="16">
        <v>1.5179217700000001</v>
      </c>
      <c r="I9" s="14" t="s">
        <v>139</v>
      </c>
      <c r="J9" s="16" t="s">
        <v>139</v>
      </c>
      <c r="K9" s="14">
        <v>0</v>
      </c>
      <c r="L9" s="16">
        <v>0</v>
      </c>
      <c r="M9" s="14">
        <v>0</v>
      </c>
      <c r="N9" s="16">
        <v>0</v>
      </c>
      <c r="O9" s="14">
        <v>0</v>
      </c>
      <c r="P9" s="16">
        <v>0</v>
      </c>
      <c r="Q9" s="14">
        <v>0</v>
      </c>
      <c r="R9" s="16">
        <v>0</v>
      </c>
    </row>
    <row r="10" spans="1:18" x14ac:dyDescent="0.25">
      <c r="A10" s="11" t="s">
        <v>142</v>
      </c>
      <c r="B10" s="13">
        <v>10022</v>
      </c>
      <c r="C10" s="14">
        <f>(8277/B10*100)</f>
        <v>82.588305727399728</v>
      </c>
      <c r="D10" s="15">
        <v>1745</v>
      </c>
      <c r="E10" s="14">
        <v>20.67924476</v>
      </c>
      <c r="F10" s="16">
        <v>1.19762832</v>
      </c>
      <c r="G10" s="14">
        <v>79.320755239999997</v>
      </c>
      <c r="H10" s="16">
        <v>1.19762832</v>
      </c>
      <c r="I10" s="14" t="s">
        <v>139</v>
      </c>
      <c r="J10" s="16" t="s">
        <v>139</v>
      </c>
      <c r="K10" s="14">
        <v>0</v>
      </c>
      <c r="L10" s="16">
        <v>0</v>
      </c>
      <c r="M10" s="14">
        <v>0</v>
      </c>
      <c r="N10" s="16">
        <v>0</v>
      </c>
      <c r="O10" s="14">
        <v>0</v>
      </c>
      <c r="P10" s="16">
        <v>0</v>
      </c>
      <c r="Q10" s="14">
        <v>0</v>
      </c>
      <c r="R10" s="16">
        <v>0</v>
      </c>
    </row>
    <row r="11" spans="1:18" x14ac:dyDescent="0.25">
      <c r="A11" s="11" t="s">
        <v>143</v>
      </c>
      <c r="B11" s="13">
        <v>3500</v>
      </c>
      <c r="C11" s="14">
        <f>(2903/B11*100)</f>
        <v>82.942857142857136</v>
      </c>
      <c r="D11" s="15">
        <v>597</v>
      </c>
      <c r="E11" s="14">
        <v>34.77259102</v>
      </c>
      <c r="F11" s="16">
        <v>2.5152476699999999</v>
      </c>
      <c r="G11" s="14">
        <v>65.227408980000007</v>
      </c>
      <c r="H11" s="16">
        <v>2.5152476699999999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(2853/B12*100)</f>
        <v>83.372296902396258</v>
      </c>
      <c r="D12" s="15">
        <v>569</v>
      </c>
      <c r="E12" s="14">
        <v>31.46213595</v>
      </c>
      <c r="F12" s="16">
        <v>2.3075421999999999</v>
      </c>
      <c r="G12" s="14">
        <v>68.537864049999996</v>
      </c>
      <c r="H12" s="16">
        <v>2.3075421999999999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(3015/B13*100)</f>
        <v>83.703498056635212</v>
      </c>
      <c r="D13" s="15">
        <v>587</v>
      </c>
      <c r="E13" s="14">
        <v>24.689676129999999</v>
      </c>
      <c r="F13" s="16">
        <v>1.9606565199999999</v>
      </c>
      <c r="G13" s="14">
        <v>75.310323870000005</v>
      </c>
      <c r="H13" s="16">
        <v>1.9606565199999999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17.305902079999999</v>
      </c>
      <c r="F14" s="16">
        <v>1.4781677099999999</v>
      </c>
      <c r="G14" s="14">
        <v>82.694097920000004</v>
      </c>
      <c r="H14" s="16">
        <v>1.4781677099999999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(2383/B15*100)</f>
        <v>83.234369542438003</v>
      </c>
      <c r="D15" s="15">
        <v>480</v>
      </c>
      <c r="E15" s="14">
        <v>19.474410840000001</v>
      </c>
      <c r="F15" s="16">
        <v>1.93461992</v>
      </c>
      <c r="G15" s="14">
        <v>80.525589159999996</v>
      </c>
      <c r="H15" s="16">
        <v>1.93461992</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(2565/B16*100)</f>
        <v>82.44937319189971</v>
      </c>
      <c r="D16" s="15">
        <v>546</v>
      </c>
      <c r="E16" s="14">
        <v>25.64720878</v>
      </c>
      <c r="F16" s="16">
        <v>1.8184416800000001</v>
      </c>
      <c r="G16" s="14">
        <v>74.35279122</v>
      </c>
      <c r="H16" s="16">
        <v>1.8184416800000001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(2643/B17*100)</f>
        <v>82.671254300907108</v>
      </c>
      <c r="D17" s="15">
        <v>554</v>
      </c>
      <c r="E17" s="14">
        <v>20.693356900000001</v>
      </c>
      <c r="F17" s="16">
        <v>1.6836536200000001</v>
      </c>
      <c r="G17" s="14">
        <v>79.306643100000002</v>
      </c>
      <c r="H17" s="16">
        <v>1.6836536200000001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23.001825069999999</v>
      </c>
      <c r="F18" s="16">
        <v>2.0624851</v>
      </c>
      <c r="G18" s="14">
        <v>76.998174930000005</v>
      </c>
      <c r="H18" s="16">
        <v>2.0624851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(2373/B19*100)</f>
        <v>83.263157894736835</v>
      </c>
      <c r="D19" s="15">
        <v>477</v>
      </c>
      <c r="E19" s="14">
        <v>26.44923601</v>
      </c>
      <c r="F19" s="16">
        <v>2.2473525799999998</v>
      </c>
      <c r="G19" s="14">
        <v>73.550763989999993</v>
      </c>
      <c r="H19" s="16">
        <v>2.2473525799999998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(1445/B20*100)</f>
        <v>82.998276852383697</v>
      </c>
      <c r="D20" s="15">
        <v>296</v>
      </c>
      <c r="E20" s="14">
        <v>30.12962812</v>
      </c>
      <c r="F20" s="16">
        <v>2.7710754099999999</v>
      </c>
      <c r="G20" s="14">
        <v>69.870371879999993</v>
      </c>
      <c r="H20" s="16">
        <v>2.7710754099999999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(3120/B22*100)</f>
        <v>85.083174256885741</v>
      </c>
      <c r="D22" s="15">
        <v>547</v>
      </c>
      <c r="E22" s="14">
        <v>27.431344020000001</v>
      </c>
      <c r="F22" s="16">
        <v>1.99541086</v>
      </c>
      <c r="G22" s="14">
        <v>72.568655980000003</v>
      </c>
      <c r="H22" s="16">
        <v>1.99541086</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(4796/B23*100)</f>
        <v>82.803867403314911</v>
      </c>
      <c r="D23" s="15">
        <v>996</v>
      </c>
      <c r="E23" s="14">
        <v>28.063274150000002</v>
      </c>
      <c r="F23" s="16">
        <v>1.9798489500000001</v>
      </c>
      <c r="G23" s="14">
        <v>71.936725850000002</v>
      </c>
      <c r="H23" s="16">
        <v>1.9798489500000001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(2743/B24*100)</f>
        <v>82.895134481716525</v>
      </c>
      <c r="D24" s="15">
        <v>566</v>
      </c>
      <c r="E24" s="14">
        <v>17.352909709999999</v>
      </c>
      <c r="F24" s="16">
        <v>1.6637429100000001</v>
      </c>
      <c r="G24" s="14">
        <v>82.647090289999994</v>
      </c>
      <c r="H24" s="16">
        <v>1.6637429100000001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12.50762102</v>
      </c>
      <c r="F25" s="16">
        <v>1.4714013100000001</v>
      </c>
      <c r="G25" s="14">
        <v>87.492378979999998</v>
      </c>
      <c r="H25" s="16">
        <v>1.4714013100000001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28.54117523</v>
      </c>
      <c r="F26" s="16">
        <v>2.2413293200000002</v>
      </c>
      <c r="G26" s="14">
        <v>71.458824770000007</v>
      </c>
      <c r="H26" s="16">
        <v>2.2413293200000002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(2225/B27*100)</f>
        <v>82.929556466641813</v>
      </c>
      <c r="D27" s="15">
        <v>458</v>
      </c>
      <c r="E27" s="14">
        <v>27.899741150000001</v>
      </c>
      <c r="F27" s="16">
        <v>1.7295847900000001</v>
      </c>
      <c r="G27" s="14">
        <v>72.100258850000003</v>
      </c>
      <c r="H27" s="16">
        <v>1.7295847900000001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(3220/B28*100)</f>
        <v>84.669997370496972</v>
      </c>
      <c r="D28" s="15">
        <v>583</v>
      </c>
      <c r="E28" s="14">
        <v>42.072341539999996</v>
      </c>
      <c r="F28" s="16">
        <v>2.2151168600000002</v>
      </c>
      <c r="G28" s="14">
        <v>57.927658460000004</v>
      </c>
      <c r="H28" s="16">
        <v>2.2151168600000002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16.385625919999999</v>
      </c>
      <c r="F29" s="16">
        <v>1.7784148399999999</v>
      </c>
      <c r="G29" s="14">
        <v>83.614374080000005</v>
      </c>
      <c r="H29" s="16">
        <v>1.7784148399999999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(1881/B30*100)</f>
        <v>83.340717766947265</v>
      </c>
      <c r="D30" s="15">
        <v>376</v>
      </c>
      <c r="E30" s="14">
        <v>19.55243188</v>
      </c>
      <c r="F30" s="16">
        <v>2.0557397100000001</v>
      </c>
      <c r="G30" s="14">
        <v>80.44756812</v>
      </c>
      <c r="H30" s="16">
        <v>2.0557397100000001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(2247/B31*100)</f>
        <v>83.037694013303764</v>
      </c>
      <c r="D31" s="15">
        <v>459</v>
      </c>
      <c r="E31" s="14">
        <v>24.28935804</v>
      </c>
      <c r="F31" s="16">
        <v>1.9795186300000001</v>
      </c>
      <c r="G31" s="14">
        <v>75.710641960000004</v>
      </c>
      <c r="H31" s="16">
        <v>1.9795186300000001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(3043/B33*100)</f>
        <v>83.347028211448915</v>
      </c>
      <c r="D33" s="15">
        <v>608</v>
      </c>
      <c r="E33" s="14">
        <v>25.57138883</v>
      </c>
      <c r="F33" s="16">
        <v>1.79629909</v>
      </c>
      <c r="G33" s="14">
        <v>74.428611169999996</v>
      </c>
      <c r="H33" s="16">
        <v>1.79629909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(2543/B34*100)</f>
        <v>83.789126853377255</v>
      </c>
      <c r="D34" s="15">
        <v>492</v>
      </c>
      <c r="E34" s="14">
        <v>31.789544299999999</v>
      </c>
      <c r="F34" s="16">
        <v>2.3843662999999999</v>
      </c>
      <c r="G34" s="14">
        <v>68.210455699999997</v>
      </c>
      <c r="H34" s="16">
        <v>2.3843662999999999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(2395/B35*100)</f>
        <v>82.55773871078938</v>
      </c>
      <c r="D35" s="15">
        <v>506</v>
      </c>
      <c r="E35" s="14">
        <v>21.594174899999999</v>
      </c>
      <c r="F35" s="16">
        <v>2.1639115100000001</v>
      </c>
      <c r="G35" s="14">
        <v>78.405825100000001</v>
      </c>
      <c r="H35" s="16">
        <v>2.1639115100000001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25.198894710000001</v>
      </c>
      <c r="F36" s="16">
        <v>1.8242593499999999</v>
      </c>
      <c r="G36" s="14">
        <v>74.801105289999995</v>
      </c>
      <c r="H36" s="16">
        <v>1.8242593499999999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(2297/B37*100)</f>
        <v>84.108385206883924</v>
      </c>
      <c r="D37" s="15">
        <v>434</v>
      </c>
      <c r="E37" s="14">
        <v>21.39814432</v>
      </c>
      <c r="F37" s="16">
        <v>1.93036341</v>
      </c>
      <c r="G37" s="14">
        <v>78.60185568</v>
      </c>
      <c r="H37" s="16">
        <v>1.93036341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34.827873459999999</v>
      </c>
      <c r="F39" s="16">
        <v>2.20275927</v>
      </c>
      <c r="G39" s="14">
        <v>65.172126539999994</v>
      </c>
      <c r="H39" s="16">
        <v>2.20275927</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(5674/B40*100)</f>
        <v>81.970528748916493</v>
      </c>
      <c r="D40" s="15">
        <v>1248</v>
      </c>
      <c r="E40" s="14">
        <v>27.797636440000002</v>
      </c>
      <c r="F40" s="16">
        <v>2.02841439</v>
      </c>
      <c r="G40" s="14">
        <v>72.202363559999995</v>
      </c>
      <c r="H40" s="16">
        <v>2.02841439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(2368/B41*100)</f>
        <v>82.971268395234759</v>
      </c>
      <c r="D41" s="15">
        <v>486</v>
      </c>
      <c r="E41" s="14">
        <v>21.19331326</v>
      </c>
      <c r="F41" s="16">
        <v>1.7631434800000001</v>
      </c>
      <c r="G41" s="14">
        <v>78.806686740000004</v>
      </c>
      <c r="H41" s="16">
        <v>1.7631434800000001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83.087425919712501</v>
      </c>
      <c r="D42" s="15">
        <f>IF(COUNT(D7:D41) &gt; 0, AVERAGE(D7:D41), "—")</f>
        <v>612.75</v>
      </c>
      <c r="E42" s="14">
        <f>IF(COUNT(E7:E41) &gt; 0, AVERAGE(E7:E41), "—")</f>
        <v>24.926817989375003</v>
      </c>
      <c r="F42" s="16">
        <f>IF(COUNT(F7:F41) &gt; 0, SQRT(SUMSQ(F7:F41)/(COUNT(F7:F41)*COUNT(F7:F41)) ), "—")</f>
        <v>0.34933109656887928</v>
      </c>
      <c r="G42" s="14">
        <f>IF(COUNT(G7:G41) &gt; 0, AVERAGE(G7:G41), "—")</f>
        <v>75.07318201062499</v>
      </c>
      <c r="H42" s="16">
        <f>IF(COUNT(H7:H41) &gt; 0, SQRT(SUMSQ(H7:H41)/(COUNT(H7:H41)*COUNT(H7:H41)) ), "—")</f>
        <v>0.34933109656887928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(10347/B46*100)</f>
        <v>85.703636213037356</v>
      </c>
      <c r="D46" s="15">
        <v>1726</v>
      </c>
      <c r="E46" s="14">
        <v>37.510490079999997</v>
      </c>
      <c r="F46" s="16">
        <v>1.88812037</v>
      </c>
      <c r="G46" s="14">
        <v>62.489509920000003</v>
      </c>
      <c r="H46" s="16">
        <v>1.88812037</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(2362/B47*100)</f>
        <v>83.669854764435001</v>
      </c>
      <c r="D47" s="15">
        <v>461</v>
      </c>
      <c r="E47" s="14">
        <v>30.671956990000002</v>
      </c>
      <c r="F47" s="16">
        <v>2.2363485000000001</v>
      </c>
      <c r="G47" s="14">
        <v>69.328043010000002</v>
      </c>
      <c r="H47" s="16">
        <v>2.2363485000000001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(3862/B48*100)</f>
        <v>82.486117043998291</v>
      </c>
      <c r="D48" s="15">
        <v>820</v>
      </c>
      <c r="E48" s="14">
        <v>28.61294032</v>
      </c>
      <c r="F48" s="16">
        <v>2.9893734799999998</v>
      </c>
      <c r="G48" s="14">
        <v>71.387059679999993</v>
      </c>
      <c r="H48" s="16">
        <v>2.9893734799999998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(5140/B50*100)</f>
        <v>83.468658655407609</v>
      </c>
      <c r="D50" s="15">
        <v>1018</v>
      </c>
      <c r="E50" s="14">
        <v>46.283241840000002</v>
      </c>
      <c r="F50" s="16">
        <v>2.26148075</v>
      </c>
      <c r="G50" s="14">
        <v>53.716758159999998</v>
      </c>
      <c r="H50" s="16">
        <v>2.26148075</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(2981/B51*100)</f>
        <v>85.317687464224392</v>
      </c>
      <c r="D51" s="15">
        <v>513</v>
      </c>
      <c r="E51" s="14">
        <v>33.085031069999999</v>
      </c>
      <c r="F51" s="16">
        <v>2.1815296399999999</v>
      </c>
      <c r="G51" s="14">
        <v>66.914968930000001</v>
      </c>
      <c r="H51" s="16">
        <v>2.1815296399999999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(2497/B52*100)</f>
        <v>82.874211749087294</v>
      </c>
      <c r="D52" s="15">
        <v>516</v>
      </c>
      <c r="E52" s="14">
        <v>20.381327469999999</v>
      </c>
      <c r="F52" s="16">
        <v>1.78527312</v>
      </c>
      <c r="G52" s="14">
        <v>79.618672529999998</v>
      </c>
      <c r="H52" s="16">
        <v>1.78527312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(2276/B53*100)</f>
        <v>82.463768115942031</v>
      </c>
      <c r="D53" s="15">
        <v>484</v>
      </c>
      <c r="E53" s="14">
        <v>29.856251610000001</v>
      </c>
      <c r="F53" s="16">
        <v>2.0560904299999998</v>
      </c>
      <c r="G53" s="14">
        <v>70.143748389999999</v>
      </c>
      <c r="H53" s="16">
        <v>2.0560904299999998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18.923011590000002</v>
      </c>
      <c r="F56" s="16">
        <v>1.73624768</v>
      </c>
      <c r="G56" s="14">
        <v>81.076988409999998</v>
      </c>
      <c r="H56" s="16">
        <v>1.73624768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23.129760480000002</v>
      </c>
      <c r="F61" s="16">
        <v>2.0070110900000002</v>
      </c>
      <c r="G61" s="14">
        <v>76.870239519999998</v>
      </c>
      <c r="H61" s="16">
        <v>2.0070110900000002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(1838/B62*100)</f>
        <v>82.421524663677133</v>
      </c>
      <c r="D62" s="15">
        <v>392</v>
      </c>
      <c r="E62" s="14">
        <v>21.154163690000001</v>
      </c>
      <c r="F62" s="16">
        <v>2.13890439</v>
      </c>
      <c r="G62" s="14">
        <v>78.845836309999996</v>
      </c>
      <c r="H62" s="16">
        <v>2.13890439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(2307/B66*100)</f>
        <v>83.255142547816675</v>
      </c>
      <c r="D66" s="15">
        <v>464</v>
      </c>
      <c r="E66" s="14">
        <v>39.85521507</v>
      </c>
      <c r="F66" s="16">
        <v>2.0976974799999999</v>
      </c>
      <c r="G66" s="14">
        <v>60.14478493</v>
      </c>
      <c r="H66" s="16">
        <v>2.0976974799999999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(2913/B67*100)</f>
        <v>84.190751445086704</v>
      </c>
      <c r="D67" s="15">
        <v>547</v>
      </c>
      <c r="E67" s="14">
        <v>34.869169669999998</v>
      </c>
      <c r="F67" s="16">
        <v>2.0669992599999998</v>
      </c>
      <c r="G67" s="14">
        <v>65.130830329999995</v>
      </c>
      <c r="H67" s="16">
        <v>2.0669992599999998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(2581/B70*100)</f>
        <v>83.070485999356293</v>
      </c>
      <c r="D70" s="15">
        <v>526</v>
      </c>
      <c r="E70" s="14">
        <v>27.087363570000001</v>
      </c>
      <c r="F70" s="16">
        <v>2.0958965200000002</v>
      </c>
      <c r="G70" s="14">
        <v>72.912636430000006</v>
      </c>
      <c r="H70" s="16">
        <v>2.0958965200000002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22.097616890000001</v>
      </c>
      <c r="F72" s="16">
        <v>1.73729292</v>
      </c>
      <c r="G72" s="14">
        <v>77.902383110000002</v>
      </c>
      <c r="H72" s="16">
        <v>1.73729292</v>
      </c>
      <c r="I72" s="14" t="s">
        <v>139</v>
      </c>
      <c r="J72" s="16" t="s">
        <v>139</v>
      </c>
      <c r="K72" s="14">
        <v>0</v>
      </c>
      <c r="L72" s="16">
        <v>0</v>
      </c>
      <c r="M72" s="14">
        <v>0</v>
      </c>
      <c r="N72" s="16">
        <v>0</v>
      </c>
      <c r="O72" s="14">
        <v>0</v>
      </c>
      <c r="P72" s="16">
        <v>0</v>
      </c>
      <c r="Q72" s="14">
        <v>0</v>
      </c>
      <c r="R72" s="16">
        <v>0</v>
      </c>
    </row>
    <row r="73" spans="1:18" x14ac:dyDescent="0.25">
      <c r="A73" s="11" t="s">
        <v>206</v>
      </c>
      <c r="B73" s="13">
        <v>4652</v>
      </c>
      <c r="C73" s="14">
        <f>(3905/B73*100)</f>
        <v>83.942390369733445</v>
      </c>
      <c r="D73" s="15">
        <v>747</v>
      </c>
      <c r="E73" s="14">
        <v>29.714373819999999</v>
      </c>
      <c r="F73" s="16">
        <v>2.0655461800000001</v>
      </c>
      <c r="G73" s="14">
        <v>70.285626179999994</v>
      </c>
      <c r="H73" s="16">
        <v>2.0655461800000001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(2488/B75*100)</f>
        <v>83.799259009767596</v>
      </c>
      <c r="D75" s="15">
        <v>481</v>
      </c>
      <c r="E75" s="14">
        <v>41.549152880000001</v>
      </c>
      <c r="F75" s="16">
        <v>1.94755787</v>
      </c>
      <c r="G75" s="14">
        <v>58.450847119999999</v>
      </c>
      <c r="H75" s="16">
        <v>1.94755787</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(5912/B76*100)</f>
        <v>83.09205903021784</v>
      </c>
      <c r="D76" s="15">
        <v>1203</v>
      </c>
      <c r="E76" s="14">
        <v>35.310289529999999</v>
      </c>
      <c r="F76" s="16">
        <v>1.9214647600000001</v>
      </c>
      <c r="G76" s="14">
        <v>64.689710469999994</v>
      </c>
      <c r="H76" s="16">
        <v>1.9214647600000001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(2621/B77*100)</f>
        <v>83.100824350031715</v>
      </c>
      <c r="D77" s="15">
        <v>533</v>
      </c>
      <c r="E77" s="14">
        <v>37.546892720000002</v>
      </c>
      <c r="F77" s="16">
        <v>2.3382537700000001</v>
      </c>
      <c r="G77" s="14">
        <v>62.453107279999998</v>
      </c>
      <c r="H77" s="16">
        <v>2.3382537700000001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(3883/B81*100)</f>
        <v>82.652192422307365</v>
      </c>
      <c r="D81" s="15">
        <v>815</v>
      </c>
      <c r="E81" s="14">
        <v>28.822898240000001</v>
      </c>
      <c r="F81" s="16">
        <v>1.81261063</v>
      </c>
      <c r="G81" s="14">
        <v>71.177101759999999</v>
      </c>
      <c r="H81" s="16">
        <v>1.81261063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(5961/B7*100)</f>
        <v>83.219321513332403</v>
      </c>
      <c r="D7" s="15">
        <v>1202</v>
      </c>
      <c r="E7" s="14">
        <v>4.9414523099999998</v>
      </c>
      <c r="F7" s="16">
        <v>0.70571265999999999</v>
      </c>
      <c r="G7" s="14">
        <v>95.058547689999997</v>
      </c>
      <c r="H7" s="16">
        <v>0.70571265999999999</v>
      </c>
      <c r="I7" s="14" t="s">
        <v>139</v>
      </c>
      <c r="J7" s="16" t="s">
        <v>139</v>
      </c>
      <c r="K7" s="14">
        <v>0</v>
      </c>
      <c r="L7" s="16">
        <v>0</v>
      </c>
      <c r="M7" s="14">
        <v>0</v>
      </c>
      <c r="N7" s="16">
        <v>0</v>
      </c>
      <c r="O7" s="14">
        <v>0</v>
      </c>
      <c r="P7" s="16">
        <v>0</v>
      </c>
      <c r="Q7" s="14">
        <v>0</v>
      </c>
      <c r="R7" s="16">
        <v>0</v>
      </c>
    </row>
    <row r="8" spans="1:18" x14ac:dyDescent="0.25">
      <c r="A8" s="11" t="s">
        <v>140</v>
      </c>
      <c r="B8" s="13">
        <v>3443</v>
      </c>
      <c r="C8" s="14">
        <f>(2861/B8*100)</f>
        <v>83.096137089747316</v>
      </c>
      <c r="D8" s="15">
        <v>582</v>
      </c>
      <c r="E8" s="14">
        <v>4.9970284300000003</v>
      </c>
      <c r="F8" s="16">
        <v>1.0793746500000001</v>
      </c>
      <c r="G8" s="14">
        <v>95.00297157</v>
      </c>
      <c r="H8" s="16">
        <v>1.0793746500000001</v>
      </c>
      <c r="I8" s="14" t="s">
        <v>139</v>
      </c>
      <c r="J8" s="16" t="s">
        <v>139</v>
      </c>
      <c r="K8" s="14">
        <v>0</v>
      </c>
      <c r="L8" s="16">
        <v>0</v>
      </c>
      <c r="M8" s="14">
        <v>0</v>
      </c>
      <c r="N8" s="16">
        <v>0</v>
      </c>
      <c r="O8" s="14">
        <v>0</v>
      </c>
      <c r="P8" s="16">
        <v>0</v>
      </c>
      <c r="Q8" s="14">
        <v>0</v>
      </c>
      <c r="R8" s="16">
        <v>0</v>
      </c>
    </row>
    <row r="9" spans="1:18" x14ac:dyDescent="0.25">
      <c r="A9" s="11" t="s">
        <v>141</v>
      </c>
      <c r="B9" s="13">
        <v>4752</v>
      </c>
      <c r="C9" s="14">
        <f>(3926/B9*100)</f>
        <v>82.617845117845107</v>
      </c>
      <c r="D9" s="15">
        <v>826</v>
      </c>
      <c r="E9" s="14">
        <v>5.4686916700000001</v>
      </c>
      <c r="F9" s="16">
        <v>0.90095139999999996</v>
      </c>
      <c r="G9" s="14">
        <v>94.531308330000002</v>
      </c>
      <c r="H9" s="16">
        <v>0.90095139999999996</v>
      </c>
      <c r="I9" s="14" t="s">
        <v>139</v>
      </c>
      <c r="J9" s="16" t="s">
        <v>139</v>
      </c>
      <c r="K9" s="14">
        <v>0</v>
      </c>
      <c r="L9" s="16">
        <v>0</v>
      </c>
      <c r="M9" s="14">
        <v>0</v>
      </c>
      <c r="N9" s="16">
        <v>0</v>
      </c>
      <c r="O9" s="14">
        <v>0</v>
      </c>
      <c r="P9" s="16">
        <v>0</v>
      </c>
      <c r="Q9" s="14">
        <v>0</v>
      </c>
      <c r="R9" s="16">
        <v>0</v>
      </c>
    </row>
    <row r="10" spans="1:18" x14ac:dyDescent="0.25">
      <c r="A10" s="11" t="s">
        <v>142</v>
      </c>
      <c r="B10" s="13">
        <v>10022</v>
      </c>
      <c r="C10" s="14">
        <f>(8277/B10*100)</f>
        <v>82.588305727399728</v>
      </c>
      <c r="D10" s="15">
        <v>1745</v>
      </c>
      <c r="E10" s="14">
        <v>3.8360368299999998</v>
      </c>
      <c r="F10" s="16">
        <v>0.55608378999999997</v>
      </c>
      <c r="G10" s="14">
        <v>96.163963170000002</v>
      </c>
      <c r="H10" s="16">
        <v>0.55608378999999997</v>
      </c>
      <c r="I10" s="14" t="s">
        <v>139</v>
      </c>
      <c r="J10" s="16" t="s">
        <v>139</v>
      </c>
      <c r="K10" s="14">
        <v>0</v>
      </c>
      <c r="L10" s="16">
        <v>0</v>
      </c>
      <c r="M10" s="14">
        <v>0</v>
      </c>
      <c r="N10" s="16">
        <v>0</v>
      </c>
      <c r="O10" s="14">
        <v>0</v>
      </c>
      <c r="P10" s="16">
        <v>0</v>
      </c>
      <c r="Q10" s="14">
        <v>0</v>
      </c>
      <c r="R10" s="16">
        <v>0</v>
      </c>
    </row>
    <row r="11" spans="1:18" x14ac:dyDescent="0.25">
      <c r="A11" s="11" t="s">
        <v>143</v>
      </c>
      <c r="B11" s="13">
        <v>3500</v>
      </c>
      <c r="C11" s="14">
        <f>(2903/B11*100)</f>
        <v>82.942857142857136</v>
      </c>
      <c r="D11" s="15">
        <v>597</v>
      </c>
      <c r="E11" s="14">
        <v>14.163107979999999</v>
      </c>
      <c r="F11" s="16">
        <v>1.6406144</v>
      </c>
      <c r="G11" s="14">
        <v>85.836892019999993</v>
      </c>
      <c r="H11" s="16">
        <v>1.6406144</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(2853/B12*100)</f>
        <v>83.372296902396258</v>
      </c>
      <c r="D12" s="15">
        <v>569</v>
      </c>
      <c r="E12" s="14">
        <v>5.4723675299999996</v>
      </c>
      <c r="F12" s="16">
        <v>0.89685508000000003</v>
      </c>
      <c r="G12" s="14">
        <v>94.52763247</v>
      </c>
      <c r="H12" s="16">
        <v>0.89685508000000003</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(3015/B13*100)</f>
        <v>83.703498056635212</v>
      </c>
      <c r="D13" s="15">
        <v>587</v>
      </c>
      <c r="E13" s="14">
        <v>3.2596983599999998</v>
      </c>
      <c r="F13" s="16">
        <v>0.77529283000000004</v>
      </c>
      <c r="G13" s="14">
        <v>96.740301639999998</v>
      </c>
      <c r="H13" s="16">
        <v>0.77529283000000004</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2.3834672399999999</v>
      </c>
      <c r="F14" s="16">
        <v>0.85323621999999999</v>
      </c>
      <c r="G14" s="14">
        <v>97.616532759999998</v>
      </c>
      <c r="H14" s="16">
        <v>0.85323621999999999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(2383/B15*100)</f>
        <v>83.234369542438003</v>
      </c>
      <c r="D15" s="15">
        <v>480</v>
      </c>
      <c r="E15" s="14">
        <v>3.8135835</v>
      </c>
      <c r="F15" s="16">
        <v>0.79647407000000003</v>
      </c>
      <c r="G15" s="14">
        <v>96.186416500000007</v>
      </c>
      <c r="H15" s="16">
        <v>0.79647407000000003</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(2565/B16*100)</f>
        <v>82.44937319189971</v>
      </c>
      <c r="D16" s="15">
        <v>546</v>
      </c>
      <c r="E16" s="14">
        <v>6.2764954499999996</v>
      </c>
      <c r="F16" s="16">
        <v>1.13431927</v>
      </c>
      <c r="G16" s="14">
        <v>93.723504550000001</v>
      </c>
      <c r="H16" s="16">
        <v>1.13431927</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(2643/B17*100)</f>
        <v>82.671254300907108</v>
      </c>
      <c r="D17" s="15">
        <v>554</v>
      </c>
      <c r="E17" s="14">
        <v>3.5999783299999999</v>
      </c>
      <c r="F17" s="16">
        <v>0.90978703000000005</v>
      </c>
      <c r="G17" s="14">
        <v>96.400021670000001</v>
      </c>
      <c r="H17" s="16">
        <v>0.90978703000000005</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9.8334042000000004</v>
      </c>
      <c r="F18" s="16">
        <v>1.7193788999999999</v>
      </c>
      <c r="G18" s="14">
        <v>90.166595799999996</v>
      </c>
      <c r="H18" s="16">
        <v>1.7193788999999999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(2373/B19*100)</f>
        <v>83.263157894736835</v>
      </c>
      <c r="D19" s="15">
        <v>477</v>
      </c>
      <c r="E19" s="14">
        <v>11.122734700000001</v>
      </c>
      <c r="F19" s="16">
        <v>1.91672278</v>
      </c>
      <c r="G19" s="14">
        <v>88.877265300000005</v>
      </c>
      <c r="H19" s="16">
        <v>1.91672278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(1445/B20*100)</f>
        <v>82.998276852383697</v>
      </c>
      <c r="D20" s="15">
        <v>296</v>
      </c>
      <c r="E20" s="14">
        <v>3.2489126000000002</v>
      </c>
      <c r="F20" s="16">
        <v>1.0732233200000001</v>
      </c>
      <c r="G20" s="14">
        <v>96.751087400000003</v>
      </c>
      <c r="H20" s="16">
        <v>1.0732233200000001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(3120/B22*100)</f>
        <v>85.083174256885741</v>
      </c>
      <c r="D22" s="15">
        <v>547</v>
      </c>
      <c r="E22" s="14">
        <v>18.356386029999999</v>
      </c>
      <c r="F22" s="16">
        <v>2.1786724</v>
      </c>
      <c r="G22" s="14">
        <v>81.643613970000004</v>
      </c>
      <c r="H22" s="16">
        <v>2.1786724</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(4796/B23*100)</f>
        <v>82.803867403314911</v>
      </c>
      <c r="D23" s="15">
        <v>996</v>
      </c>
      <c r="E23" s="14">
        <v>8.2014932700000003</v>
      </c>
      <c r="F23" s="16">
        <v>1.69441796</v>
      </c>
      <c r="G23" s="14">
        <v>91.79850673</v>
      </c>
      <c r="H23" s="16">
        <v>1.69441796</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(2743/B24*100)</f>
        <v>82.895134481716525</v>
      </c>
      <c r="D24" s="15">
        <v>566</v>
      </c>
      <c r="E24" s="14">
        <v>2.0348435500000002</v>
      </c>
      <c r="F24" s="16">
        <v>0.58748330000000004</v>
      </c>
      <c r="G24" s="14">
        <v>97.965156449999995</v>
      </c>
      <c r="H24" s="16">
        <v>0.58748330000000004</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4.0844566499999999</v>
      </c>
      <c r="F25" s="16">
        <v>0.9338438</v>
      </c>
      <c r="G25" s="14">
        <v>95.915543349999993</v>
      </c>
      <c r="H25" s="16">
        <v>0.9338438</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(1999/B26*100)</f>
        <v>82.637453493179009</v>
      </c>
      <c r="D26" s="15">
        <v>420</v>
      </c>
      <c r="E26" s="14">
        <v>8.6429427099999998</v>
      </c>
      <c r="F26" s="16">
        <v>1.5779730999999999</v>
      </c>
      <c r="G26" s="14">
        <v>91.35705729</v>
      </c>
      <c r="H26" s="16">
        <v>1.5779730999999999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(2225/B27*100)</f>
        <v>82.929556466641813</v>
      </c>
      <c r="D27" s="15">
        <v>458</v>
      </c>
      <c r="E27" s="14">
        <v>4.3422882300000003</v>
      </c>
      <c r="F27" s="16">
        <v>0.78345487999999996</v>
      </c>
      <c r="G27" s="14">
        <v>95.657711770000006</v>
      </c>
      <c r="H27" s="16">
        <v>0.78345487999999996</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(3220/B28*100)</f>
        <v>84.669997370496972</v>
      </c>
      <c r="D28" s="15">
        <v>583</v>
      </c>
      <c r="E28" s="14">
        <v>23.880173880000001</v>
      </c>
      <c r="F28" s="16">
        <v>2.3540554500000002</v>
      </c>
      <c r="G28" s="14">
        <v>76.119826119999999</v>
      </c>
      <c r="H28" s="16">
        <v>2.3540554500000002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6.1461200299999996</v>
      </c>
      <c r="F29" s="16">
        <v>1.0134881</v>
      </c>
      <c r="G29" s="14">
        <v>93.853879969999994</v>
      </c>
      <c r="H29" s="16">
        <v>1.0134881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(1881/B30*100)</f>
        <v>83.340717766947265</v>
      </c>
      <c r="D30" s="15">
        <v>376</v>
      </c>
      <c r="E30" s="14">
        <v>1.81383392</v>
      </c>
      <c r="F30" s="16">
        <v>0.99654577</v>
      </c>
      <c r="G30" s="14">
        <v>98.186166080000007</v>
      </c>
      <c r="H30" s="16">
        <v>0.99654577</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(2247/B31*100)</f>
        <v>83.037694013303764</v>
      </c>
      <c r="D31" s="15">
        <v>459</v>
      </c>
      <c r="E31" s="14">
        <v>5.6323971500000001</v>
      </c>
      <c r="F31" s="16">
        <v>1.03079706</v>
      </c>
      <c r="G31" s="14">
        <v>94.367602849999997</v>
      </c>
      <c r="H31" s="16">
        <v>1.03079706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(3043/B33*100)</f>
        <v>83.347028211448915</v>
      </c>
      <c r="D33" s="15">
        <v>608</v>
      </c>
      <c r="E33" s="14">
        <v>7.0338534700000004</v>
      </c>
      <c r="F33" s="16">
        <v>1.15208233</v>
      </c>
      <c r="G33" s="14">
        <v>92.966146530000003</v>
      </c>
      <c r="H33" s="16">
        <v>1.15208233</v>
      </c>
      <c r="I33" s="14" t="s">
        <v>139</v>
      </c>
      <c r="J33" s="16" t="s">
        <v>139</v>
      </c>
      <c r="K33" s="14">
        <v>0</v>
      </c>
      <c r="L33" s="16">
        <v>0</v>
      </c>
      <c r="M33" s="14">
        <v>0</v>
      </c>
      <c r="N33" s="16">
        <v>0</v>
      </c>
      <c r="O33" s="14">
        <v>0</v>
      </c>
      <c r="P33" s="16">
        <v>0</v>
      </c>
      <c r="Q33" s="14">
        <v>0</v>
      </c>
      <c r="R33" s="16">
        <v>0</v>
      </c>
    </row>
    <row r="34" spans="1:18" x14ac:dyDescent="0.25">
      <c r="A34" s="11" t="s">
        <v>167</v>
      </c>
      <c r="B34" s="13">
        <v>3035</v>
      </c>
      <c r="C34" s="14">
        <f>(2543/B34*100)</f>
        <v>83.789126853377255</v>
      </c>
      <c r="D34" s="15">
        <v>492</v>
      </c>
      <c r="E34" s="14">
        <v>9.9894983499999999</v>
      </c>
      <c r="F34" s="16">
        <v>1.18659092</v>
      </c>
      <c r="G34" s="14">
        <v>90.010501649999995</v>
      </c>
      <c r="H34" s="16">
        <v>1.18659092</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(2395/B35*100)</f>
        <v>82.55773871078938</v>
      </c>
      <c r="D35" s="15">
        <v>506</v>
      </c>
      <c r="E35" s="14">
        <v>5.4647268000000002</v>
      </c>
      <c r="F35" s="16">
        <v>1.1104659299999999</v>
      </c>
      <c r="G35" s="14">
        <v>94.535273200000006</v>
      </c>
      <c r="H35" s="16">
        <v>1.1104659299999999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8.1501446299999998</v>
      </c>
      <c r="F36" s="16">
        <v>1.1828465699999999</v>
      </c>
      <c r="G36" s="14">
        <v>91.84985537</v>
      </c>
      <c r="H36" s="16">
        <v>1.1828465699999999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(2297/B37*100)</f>
        <v>84.108385206883924</v>
      </c>
      <c r="D37" s="15">
        <v>434</v>
      </c>
      <c r="E37" s="14">
        <v>3.6104746799999998</v>
      </c>
      <c r="F37" s="16">
        <v>0.89355262000000002</v>
      </c>
      <c r="G37" s="14">
        <v>96.389525320000004</v>
      </c>
      <c r="H37" s="16">
        <v>0.89355262000000002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21.951245069999999</v>
      </c>
      <c r="F39" s="16">
        <v>2.1755236899999999</v>
      </c>
      <c r="G39" s="14">
        <v>78.048754930000001</v>
      </c>
      <c r="H39" s="16">
        <v>2.1755236899999999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(5674/B40*100)</f>
        <v>81.970528748916493</v>
      </c>
      <c r="D40" s="15">
        <v>1248</v>
      </c>
      <c r="E40" s="14">
        <v>4.3367960099999996</v>
      </c>
      <c r="F40" s="16">
        <v>1.00268424</v>
      </c>
      <c r="G40" s="14">
        <v>95.66320399</v>
      </c>
      <c r="H40" s="16">
        <v>1.00268424</v>
      </c>
      <c r="I40" s="14" t="s">
        <v>139</v>
      </c>
      <c r="J40" s="16" t="s">
        <v>139</v>
      </c>
      <c r="K40" s="14">
        <v>0</v>
      </c>
      <c r="L40" s="16">
        <v>0</v>
      </c>
      <c r="M40" s="14">
        <v>0</v>
      </c>
      <c r="N40" s="16">
        <v>0</v>
      </c>
      <c r="O40" s="14">
        <v>0</v>
      </c>
      <c r="P40" s="16">
        <v>0</v>
      </c>
      <c r="Q40" s="14">
        <v>0</v>
      </c>
      <c r="R40" s="16">
        <v>0</v>
      </c>
    </row>
    <row r="41" spans="1:18" x14ac:dyDescent="0.25">
      <c r="A41" s="11" t="s">
        <v>174</v>
      </c>
      <c r="B41" s="13">
        <v>2854</v>
      </c>
      <c r="C41" s="14">
        <f>(2368/B41*100)</f>
        <v>82.971268395234759</v>
      </c>
      <c r="D41" s="15">
        <v>486</v>
      </c>
      <c r="E41" s="14">
        <v>5.8505830799999998</v>
      </c>
      <c r="F41" s="16">
        <v>1.20752865</v>
      </c>
      <c r="G41" s="14">
        <v>94.149416919999993</v>
      </c>
      <c r="H41" s="16">
        <v>1.20752865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83.087425919712501</v>
      </c>
      <c r="D42" s="15">
        <f>IF(COUNT(D7:D41) &gt; 0, AVERAGE(D7:D41), "—")</f>
        <v>612.75</v>
      </c>
      <c r="E42" s="14">
        <f>IF(COUNT(E7:E41) &gt; 0, AVERAGE(E7:E41), "—")</f>
        <v>7.2481005200000004</v>
      </c>
      <c r="F42" s="16">
        <f>IF(COUNT(F7:F41) &gt; 0, SQRT(SUMSQ(F7:F41)/(COUNT(F7:F41)*COUNT(F7:F41)) ), "—")</f>
        <v>0.22548814585019616</v>
      </c>
      <c r="G42" s="14">
        <f>IF(COUNT(G7:G41) &gt; 0, AVERAGE(G7:G41), "—")</f>
        <v>92.75189948000002</v>
      </c>
      <c r="H42" s="16">
        <f>IF(COUNT(H7:H41) &gt; 0, SQRT(SUMSQ(H7:H41)/(COUNT(H7:H41)*COUNT(H7:H41)) ), "—")</f>
        <v>0.22548814585019616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(10347/B46*100)</f>
        <v>85.703636213037356</v>
      </c>
      <c r="D46" s="15">
        <v>1726</v>
      </c>
      <c r="E46" s="14">
        <v>18.455584810000001</v>
      </c>
      <c r="F46" s="16">
        <v>1.2677194700000001</v>
      </c>
      <c r="G46" s="14">
        <v>81.544415189999995</v>
      </c>
      <c r="H46" s="16">
        <v>1.2677194700000001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(2362/B47*100)</f>
        <v>83.669854764435001</v>
      </c>
      <c r="D47" s="15">
        <v>461</v>
      </c>
      <c r="E47" s="14">
        <v>14.30904039</v>
      </c>
      <c r="F47" s="16">
        <v>1.63614349</v>
      </c>
      <c r="G47" s="14">
        <v>85.690959609999993</v>
      </c>
      <c r="H47" s="16">
        <v>1.63614349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(3862/B48*100)</f>
        <v>82.486117043998291</v>
      </c>
      <c r="D48" s="15">
        <v>820</v>
      </c>
      <c r="E48" s="14">
        <v>11.807900310000001</v>
      </c>
      <c r="F48" s="16">
        <v>1.8095477499999999</v>
      </c>
      <c r="G48" s="14">
        <v>88.192099690000006</v>
      </c>
      <c r="H48" s="16">
        <v>1.8095477499999999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(5140/B50*100)</f>
        <v>83.468658655407609</v>
      </c>
      <c r="D50" s="15">
        <v>1018</v>
      </c>
      <c r="E50" s="14">
        <v>21.43066005</v>
      </c>
      <c r="F50" s="16">
        <v>1.5854152399999999</v>
      </c>
      <c r="G50" s="14">
        <v>78.56933995</v>
      </c>
      <c r="H50" s="16">
        <v>1.5854152399999999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(2981/B51*100)</f>
        <v>85.317687464224392</v>
      </c>
      <c r="D51" s="15">
        <v>513</v>
      </c>
      <c r="E51" s="14">
        <v>18.212628250000002</v>
      </c>
      <c r="F51" s="16">
        <v>1.6274769099999999</v>
      </c>
      <c r="G51" s="14">
        <v>81.787371750000005</v>
      </c>
      <c r="H51" s="16">
        <v>1.6274769099999999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(2497/B52*100)</f>
        <v>82.874211749087294</v>
      </c>
      <c r="D52" s="15">
        <v>516</v>
      </c>
      <c r="E52" s="14">
        <v>6.37231624</v>
      </c>
      <c r="F52" s="16">
        <v>1.12547022</v>
      </c>
      <c r="G52" s="14">
        <v>93.627683759999996</v>
      </c>
      <c r="H52" s="16">
        <v>1.12547022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(2276/B53*100)</f>
        <v>82.463768115942031</v>
      </c>
      <c r="D53" s="15">
        <v>484</v>
      </c>
      <c r="E53" s="14">
        <v>10.91324504</v>
      </c>
      <c r="F53" s="16">
        <v>1.4757972399999999</v>
      </c>
      <c r="G53" s="14">
        <v>89.086754959999993</v>
      </c>
      <c r="H53" s="16">
        <v>1.4757972399999999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2.8097142100000001</v>
      </c>
      <c r="F56" s="16">
        <v>0.75933603999999999</v>
      </c>
      <c r="G56" s="14">
        <v>97.190285790000004</v>
      </c>
      <c r="H56" s="16">
        <v>0.75933603999999999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7.1790299099999997</v>
      </c>
      <c r="F61" s="16">
        <v>1.1068015499999999</v>
      </c>
      <c r="G61" s="14">
        <v>92.820970090000003</v>
      </c>
      <c r="H61" s="16">
        <v>1.1068015499999999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(1838/B62*100)</f>
        <v>82.421524663677133</v>
      </c>
      <c r="D62" s="15">
        <v>392</v>
      </c>
      <c r="E62" s="14">
        <v>2.5324813499999999</v>
      </c>
      <c r="F62" s="16">
        <v>0.77643362000000005</v>
      </c>
      <c r="G62" s="14">
        <v>97.467518650000002</v>
      </c>
      <c r="H62" s="16">
        <v>0.77643362000000005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(2307/B66*100)</f>
        <v>83.255142547816675</v>
      </c>
      <c r="D66" s="15">
        <v>464</v>
      </c>
      <c r="E66" s="14">
        <v>17.029127020000001</v>
      </c>
      <c r="F66" s="16">
        <v>1.7854384000000001</v>
      </c>
      <c r="G66" s="14">
        <v>82.970872979999996</v>
      </c>
      <c r="H66" s="16">
        <v>1.7854384000000001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(2913/B67*100)</f>
        <v>84.190751445086704</v>
      </c>
      <c r="D67" s="15">
        <v>547</v>
      </c>
      <c r="E67" s="14">
        <v>35.393776350000003</v>
      </c>
      <c r="F67" s="16">
        <v>2.5014427399999999</v>
      </c>
      <c r="G67" s="14">
        <v>64.606223650000004</v>
      </c>
      <c r="H67" s="16">
        <v>2.5014427399999999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(2581/B70*100)</f>
        <v>83.070485999356293</v>
      </c>
      <c r="D70" s="15">
        <v>526</v>
      </c>
      <c r="E70" s="14">
        <v>7.01713787</v>
      </c>
      <c r="F70" s="16">
        <v>1.2591371600000001</v>
      </c>
      <c r="G70" s="14">
        <v>92.982862130000001</v>
      </c>
      <c r="H70" s="16">
        <v>1.2591371600000001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2.4779632899999999</v>
      </c>
      <c r="F72" s="16">
        <v>0.64162713999999998</v>
      </c>
      <c r="G72" s="14">
        <v>97.522036709999995</v>
      </c>
      <c r="H72" s="16">
        <v>0.64162713999999998</v>
      </c>
      <c r="I72" s="14" t="s">
        <v>139</v>
      </c>
      <c r="J72" s="16" t="s">
        <v>139</v>
      </c>
      <c r="K72" s="14">
        <v>0</v>
      </c>
      <c r="L72" s="16">
        <v>0</v>
      </c>
      <c r="M72" s="14">
        <v>0</v>
      </c>
      <c r="N72" s="16">
        <v>0</v>
      </c>
      <c r="O72" s="14">
        <v>0</v>
      </c>
      <c r="P72" s="16">
        <v>0</v>
      </c>
      <c r="Q72" s="14">
        <v>0</v>
      </c>
      <c r="R72" s="16">
        <v>0</v>
      </c>
    </row>
    <row r="73" spans="1:18" x14ac:dyDescent="0.25">
      <c r="A73" s="11" t="s">
        <v>206</v>
      </c>
      <c r="B73" s="13">
        <v>4652</v>
      </c>
      <c r="C73" s="14">
        <f>(3905/B73*100)</f>
        <v>83.942390369733445</v>
      </c>
      <c r="D73" s="15">
        <v>747</v>
      </c>
      <c r="E73" s="14">
        <v>25.808931019999999</v>
      </c>
      <c r="F73" s="16">
        <v>2.0519615299999998</v>
      </c>
      <c r="G73" s="14">
        <v>74.191068979999997</v>
      </c>
      <c r="H73" s="16">
        <v>2.0519615299999998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(2488/B75*100)</f>
        <v>83.799259009767596</v>
      </c>
      <c r="D75" s="15">
        <v>481</v>
      </c>
      <c r="E75" s="14">
        <v>47.679769690000001</v>
      </c>
      <c r="F75" s="16">
        <v>2.4099666700000002</v>
      </c>
      <c r="G75" s="14">
        <v>52.320230309999999</v>
      </c>
      <c r="H75" s="16">
        <v>2.4099666700000002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(5912/B76*100)</f>
        <v>83.09205903021784</v>
      </c>
      <c r="D76" s="15">
        <v>1203</v>
      </c>
      <c r="E76" s="14">
        <v>18.288582630000001</v>
      </c>
      <c r="F76" s="16">
        <v>1.2488486999999999</v>
      </c>
      <c r="G76" s="14">
        <v>81.711417370000007</v>
      </c>
      <c r="H76" s="16">
        <v>1.2488486999999999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(2621/B77*100)</f>
        <v>83.100824350031715</v>
      </c>
      <c r="D77" s="15">
        <v>533</v>
      </c>
      <c r="E77" s="14">
        <v>12.80339148</v>
      </c>
      <c r="F77" s="16">
        <v>1.47185458</v>
      </c>
      <c r="G77" s="14">
        <v>87.196608519999998</v>
      </c>
      <c r="H77" s="16">
        <v>1.47185458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(3883/B81*100)</f>
        <v>82.652192422307365</v>
      </c>
      <c r="D81" s="15">
        <v>815</v>
      </c>
      <c r="E81" s="14">
        <v>13.01031541</v>
      </c>
      <c r="F81" s="16">
        <v>1.48486819</v>
      </c>
      <c r="G81" s="14">
        <v>86.989684589999996</v>
      </c>
      <c r="H81" s="16">
        <v>1.48486819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238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(5978/B7*100)</f>
        <v>83.456652240681279</v>
      </c>
      <c r="D7" s="15">
        <v>1185</v>
      </c>
      <c r="E7" s="14">
        <v>28.533616550000001</v>
      </c>
      <c r="F7" s="16">
        <v>1.44335609</v>
      </c>
      <c r="G7" s="14">
        <v>71.466383449999995</v>
      </c>
      <c r="H7" s="16">
        <v>1.44335609</v>
      </c>
      <c r="I7" s="14" t="s">
        <v>139</v>
      </c>
      <c r="J7" s="16" t="s">
        <v>139</v>
      </c>
      <c r="K7" s="14">
        <v>0</v>
      </c>
      <c r="L7" s="16">
        <v>0</v>
      </c>
      <c r="M7" s="14">
        <v>0</v>
      </c>
      <c r="N7" s="16">
        <v>0</v>
      </c>
      <c r="O7" s="14">
        <v>0</v>
      </c>
      <c r="P7" s="16">
        <v>0</v>
      </c>
      <c r="Q7" s="14">
        <v>0</v>
      </c>
      <c r="R7" s="16">
        <v>0</v>
      </c>
    </row>
    <row r="8" spans="1:18" x14ac:dyDescent="0.25">
      <c r="A8" s="11" t="s">
        <v>140</v>
      </c>
      <c r="B8" s="13">
        <v>3443</v>
      </c>
      <c r="C8" s="14">
        <f>(2864/B8*100)</f>
        <v>83.183270403717685</v>
      </c>
      <c r="D8" s="15">
        <v>579</v>
      </c>
      <c r="E8" s="14">
        <v>33.117885950000002</v>
      </c>
      <c r="F8" s="16">
        <v>2.1506916899999999</v>
      </c>
      <c r="G8" s="14">
        <v>66.882114049999998</v>
      </c>
      <c r="H8" s="16">
        <v>2.1506916899999999</v>
      </c>
      <c r="I8" s="14" t="s">
        <v>139</v>
      </c>
      <c r="J8" s="16" t="s">
        <v>139</v>
      </c>
      <c r="K8" s="14">
        <v>0</v>
      </c>
      <c r="L8" s="16">
        <v>0</v>
      </c>
      <c r="M8" s="14">
        <v>0</v>
      </c>
      <c r="N8" s="16">
        <v>0</v>
      </c>
      <c r="O8" s="14">
        <v>0</v>
      </c>
      <c r="P8" s="16">
        <v>0</v>
      </c>
      <c r="Q8" s="14">
        <v>0</v>
      </c>
      <c r="R8" s="16">
        <v>0</v>
      </c>
    </row>
    <row r="9" spans="1:18" x14ac:dyDescent="0.25">
      <c r="A9" s="11" t="s">
        <v>141</v>
      </c>
      <c r="B9" s="13">
        <v>4752</v>
      </c>
      <c r="C9" s="14">
        <f>(3937/B9*100)</f>
        <v>82.849326599326602</v>
      </c>
      <c r="D9" s="15">
        <v>815</v>
      </c>
      <c r="E9" s="14">
        <v>26.968210039999999</v>
      </c>
      <c r="F9" s="16">
        <v>1.67026312</v>
      </c>
      <c r="G9" s="14">
        <v>73.031789959999998</v>
      </c>
      <c r="H9" s="16">
        <v>1.67026312</v>
      </c>
      <c r="I9" s="14" t="s">
        <v>139</v>
      </c>
      <c r="J9" s="16" t="s">
        <v>139</v>
      </c>
      <c r="K9" s="14">
        <v>0</v>
      </c>
      <c r="L9" s="16">
        <v>0</v>
      </c>
      <c r="M9" s="14">
        <v>0</v>
      </c>
      <c r="N9" s="16">
        <v>0</v>
      </c>
      <c r="O9" s="14">
        <v>0</v>
      </c>
      <c r="P9" s="16">
        <v>0</v>
      </c>
      <c r="Q9" s="14">
        <v>0</v>
      </c>
      <c r="R9" s="16">
        <v>0</v>
      </c>
    </row>
    <row r="10" spans="1:18" x14ac:dyDescent="0.25">
      <c r="A10" s="11" t="s">
        <v>142</v>
      </c>
      <c r="B10" s="13">
        <v>10022</v>
      </c>
      <c r="C10" s="14">
        <f>(8288/B10*100)</f>
        <v>82.698064258631007</v>
      </c>
      <c r="D10" s="15">
        <v>1734</v>
      </c>
      <c r="E10" s="14">
        <v>29.70356417</v>
      </c>
      <c r="F10" s="16">
        <v>1.45319584</v>
      </c>
      <c r="G10" s="14">
        <v>70.296435829999993</v>
      </c>
      <c r="H10" s="16">
        <v>1.45319584</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(2914/B11*100)</f>
        <v>83.257142857142853</v>
      </c>
      <c r="D11" s="15">
        <v>586</v>
      </c>
      <c r="E11" s="14">
        <v>37.250351729999998</v>
      </c>
      <c r="F11" s="16">
        <v>2.4374226800000001</v>
      </c>
      <c r="G11" s="14">
        <v>62.749648270000002</v>
      </c>
      <c r="H11" s="16">
        <v>2.4374226800000001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(2859/B12*100)</f>
        <v>83.547632963179424</v>
      </c>
      <c r="D12" s="15">
        <v>563</v>
      </c>
      <c r="E12" s="14">
        <v>18.983561340000001</v>
      </c>
      <c r="F12" s="16">
        <v>2.04395682</v>
      </c>
      <c r="G12" s="14">
        <v>81.016438660000006</v>
      </c>
      <c r="H12" s="16">
        <v>2.04395682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(3018/B13*100)</f>
        <v>83.786785119378123</v>
      </c>
      <c r="D13" s="15">
        <v>584</v>
      </c>
      <c r="E13" s="14">
        <v>19.193780390000001</v>
      </c>
      <c r="F13" s="16">
        <v>1.7330395599999999</v>
      </c>
      <c r="G13" s="14">
        <v>80.806219609999999</v>
      </c>
      <c r="H13" s="16">
        <v>1.7330395599999999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(2317/B14*100)</f>
        <v>83.10616929698709</v>
      </c>
      <c r="D14" s="15">
        <v>471</v>
      </c>
      <c r="E14" s="14">
        <v>17.320910210000001</v>
      </c>
      <c r="F14" s="16">
        <v>1.7770565899999999</v>
      </c>
      <c r="G14" s="14">
        <v>82.679089790000006</v>
      </c>
      <c r="H14" s="16">
        <v>1.7770565899999999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(2385/B15*100)</f>
        <v>83.304226336011183</v>
      </c>
      <c r="D15" s="15">
        <v>478</v>
      </c>
      <c r="E15" s="14">
        <v>16.572046570000001</v>
      </c>
      <c r="F15" s="16">
        <v>1.6750063900000001</v>
      </c>
      <c r="G15" s="14">
        <v>83.427953430000002</v>
      </c>
      <c r="H15" s="16">
        <v>1.6750063900000001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(2569/B16*100)</f>
        <v>82.577949212471879</v>
      </c>
      <c r="D16" s="15">
        <v>542</v>
      </c>
      <c r="E16" s="14">
        <v>30.034670269999999</v>
      </c>
      <c r="F16" s="16">
        <v>1.94071101</v>
      </c>
      <c r="G16" s="14">
        <v>69.965329729999993</v>
      </c>
      <c r="H16" s="16">
        <v>1.94071101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(2647/B17*100)</f>
        <v>82.796371598373469</v>
      </c>
      <c r="D17" s="15">
        <v>550</v>
      </c>
      <c r="E17" s="14">
        <v>23.3822084</v>
      </c>
      <c r="F17" s="16">
        <v>1.93152714</v>
      </c>
      <c r="G17" s="14">
        <v>76.617791600000004</v>
      </c>
      <c r="H17" s="16">
        <v>1.93152714</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(2236/B18*100)</f>
        <v>82.631189948263113</v>
      </c>
      <c r="D18" s="15">
        <v>470</v>
      </c>
      <c r="E18" s="14">
        <v>36.119194090000001</v>
      </c>
      <c r="F18" s="16">
        <v>2.5870503899999999</v>
      </c>
      <c r="G18" s="14">
        <v>63.880805909999999</v>
      </c>
      <c r="H18" s="16">
        <v>2.5870503899999999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(2383/B19*100)</f>
        <v>83.614035087719301</v>
      </c>
      <c r="D19" s="15">
        <v>467</v>
      </c>
      <c r="E19" s="14">
        <v>35.702112679999999</v>
      </c>
      <c r="F19" s="16">
        <v>2.4265153399999999</v>
      </c>
      <c r="G19" s="14">
        <v>64.297887320000001</v>
      </c>
      <c r="H19" s="16">
        <v>2.4265153399999999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(1449/B20*100)</f>
        <v>83.228029867892019</v>
      </c>
      <c r="D20" s="15">
        <v>292</v>
      </c>
      <c r="E20" s="14">
        <v>32.479924230000002</v>
      </c>
      <c r="F20" s="16">
        <v>2.3984127100000001</v>
      </c>
      <c r="G20" s="14">
        <v>67.520075770000005</v>
      </c>
      <c r="H20" s="16">
        <v>2.3984127100000001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(3122/B22*100)</f>
        <v>85.13771475320425</v>
      </c>
      <c r="D22" s="15">
        <v>545</v>
      </c>
      <c r="E22" s="14">
        <v>31.05218211</v>
      </c>
      <c r="F22" s="16">
        <v>2.21929284</v>
      </c>
      <c r="G22" s="14">
        <v>68.947817889999996</v>
      </c>
      <c r="H22" s="16">
        <v>2.21929284</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(4806/B23*100)</f>
        <v>82.976519337016569</v>
      </c>
      <c r="D23" s="15">
        <v>986</v>
      </c>
      <c r="E23" s="14">
        <v>25.260531090000001</v>
      </c>
      <c r="F23" s="16">
        <v>2.0222702400000001</v>
      </c>
      <c r="G23" s="14">
        <v>74.739468909999999</v>
      </c>
      <c r="H23" s="16">
        <v>2.0222702400000001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(2744/B24*100)</f>
        <v>82.925355092172865</v>
      </c>
      <c r="D24" s="15">
        <v>565</v>
      </c>
      <c r="E24" s="14">
        <v>24.02195566</v>
      </c>
      <c r="F24" s="16">
        <v>1.9670802700000001</v>
      </c>
      <c r="G24" s="14">
        <v>75.978044339999997</v>
      </c>
      <c r="H24" s="16">
        <v>1.9670802700000001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29.170788099999999</v>
      </c>
      <c r="F25" s="16">
        <v>2.2449184999999998</v>
      </c>
      <c r="G25" s="14">
        <v>70.829211900000004</v>
      </c>
      <c r="H25" s="16">
        <v>2.2449184999999998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(2002/B26*100)</f>
        <v>82.761471682513431</v>
      </c>
      <c r="D26" s="15">
        <v>417</v>
      </c>
      <c r="E26" s="14">
        <v>31.80446456</v>
      </c>
      <c r="F26" s="16">
        <v>2.4640356300000001</v>
      </c>
      <c r="G26" s="14">
        <v>68.19553544</v>
      </c>
      <c r="H26" s="16">
        <v>2.4640356300000001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(2238/B27*100)</f>
        <v>83.414088706671635</v>
      </c>
      <c r="D27" s="15">
        <v>445</v>
      </c>
      <c r="E27" s="14">
        <v>31.373708390000001</v>
      </c>
      <c r="F27" s="16">
        <v>2.1586078099999999</v>
      </c>
      <c r="G27" s="14">
        <v>68.626291609999996</v>
      </c>
      <c r="H27" s="16">
        <v>2.1586078099999999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(3247/B28*100)</f>
        <v>85.379963186957667</v>
      </c>
      <c r="D28" s="15">
        <v>556</v>
      </c>
      <c r="E28" s="14">
        <v>39.862008150000001</v>
      </c>
      <c r="F28" s="16">
        <v>2.6139921199999998</v>
      </c>
      <c r="G28" s="14">
        <v>60.137991849999999</v>
      </c>
      <c r="H28" s="16">
        <v>2.6139921199999998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30.23205742</v>
      </c>
      <c r="F29" s="16">
        <v>2.0632730700000002</v>
      </c>
      <c r="G29" s="14">
        <v>69.767942579999996</v>
      </c>
      <c r="H29" s="16">
        <v>2.0632730700000002</v>
      </c>
      <c r="I29" s="14" t="s">
        <v>139</v>
      </c>
      <c r="J29" s="16" t="s">
        <v>139</v>
      </c>
      <c r="K29" s="14">
        <v>0</v>
      </c>
      <c r="L29" s="16">
        <v>0</v>
      </c>
      <c r="M29" s="14">
        <v>0</v>
      </c>
      <c r="N29" s="16">
        <v>0</v>
      </c>
      <c r="O29" s="14">
        <v>0</v>
      </c>
      <c r="P29" s="16">
        <v>0</v>
      </c>
      <c r="Q29" s="14">
        <v>0</v>
      </c>
      <c r="R29" s="16">
        <v>0</v>
      </c>
    </row>
    <row r="30" spans="1:18" x14ac:dyDescent="0.25">
      <c r="A30" s="11" t="s">
        <v>163</v>
      </c>
      <c r="B30" s="13">
        <v>2257</v>
      </c>
      <c r="C30" s="14">
        <f>(1886/B30*100)</f>
        <v>83.562250775365527</v>
      </c>
      <c r="D30" s="15">
        <v>371</v>
      </c>
      <c r="E30" s="14">
        <v>23.64407052</v>
      </c>
      <c r="F30" s="16">
        <v>2.2566952699999998</v>
      </c>
      <c r="G30" s="14">
        <v>76.35592948</v>
      </c>
      <c r="H30" s="16">
        <v>2.2566952699999998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(2251/B31*100)</f>
        <v>83.185513673318553</v>
      </c>
      <c r="D31" s="15">
        <v>455</v>
      </c>
      <c r="E31" s="14">
        <v>27.874526320000001</v>
      </c>
      <c r="F31" s="16">
        <v>2.0547599299999999</v>
      </c>
      <c r="G31" s="14">
        <v>72.125473679999999</v>
      </c>
      <c r="H31" s="16">
        <v>2.0547599299999999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(3055/B33*100)</f>
        <v>83.67570528622295</v>
      </c>
      <c r="D33" s="15">
        <v>596</v>
      </c>
      <c r="E33" s="14">
        <v>30.386651799999999</v>
      </c>
      <c r="F33" s="16">
        <v>2.2795389699999999</v>
      </c>
      <c r="G33" s="14">
        <v>69.613348200000004</v>
      </c>
      <c r="H33" s="16">
        <v>2.2795389699999999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(2554/B34*100)</f>
        <v>84.151565074135092</v>
      </c>
      <c r="D34" s="15">
        <v>481</v>
      </c>
      <c r="E34" s="14">
        <v>31.491636710000002</v>
      </c>
      <c r="F34" s="16">
        <v>1.8610954</v>
      </c>
      <c r="G34" s="14">
        <v>68.508363290000005</v>
      </c>
      <c r="H34" s="16">
        <v>1.8610954</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(2399/B35*100)</f>
        <v>82.69562219924164</v>
      </c>
      <c r="D35" s="15">
        <v>502</v>
      </c>
      <c r="E35" s="14">
        <v>25.32856473</v>
      </c>
      <c r="F35" s="16">
        <v>2.29049353</v>
      </c>
      <c r="G35" s="14">
        <v>74.671435270000003</v>
      </c>
      <c r="H35" s="16">
        <v>2.29049353</v>
      </c>
      <c r="I35" s="14" t="s">
        <v>139</v>
      </c>
      <c r="J35" s="16" t="s">
        <v>139</v>
      </c>
      <c r="K35" s="14">
        <v>0</v>
      </c>
      <c r="L35" s="16">
        <v>0</v>
      </c>
      <c r="M35" s="14">
        <v>0</v>
      </c>
      <c r="N35" s="16">
        <v>0</v>
      </c>
      <c r="O35" s="14">
        <v>0</v>
      </c>
      <c r="P35" s="16">
        <v>0</v>
      </c>
      <c r="Q35" s="14">
        <v>0</v>
      </c>
      <c r="R35" s="16">
        <v>0</v>
      </c>
    </row>
    <row r="36" spans="1:18" x14ac:dyDescent="0.25">
      <c r="A36" s="11" t="s">
        <v>169</v>
      </c>
      <c r="B36" s="13">
        <v>3404</v>
      </c>
      <c r="C36" s="14">
        <f>(2835/B36*100)</f>
        <v>83.284371327849598</v>
      </c>
      <c r="D36" s="15">
        <v>569</v>
      </c>
      <c r="E36" s="14">
        <v>30.128134249999999</v>
      </c>
      <c r="F36" s="16">
        <v>1.7799177500000001</v>
      </c>
      <c r="G36" s="14">
        <v>69.871865749999998</v>
      </c>
      <c r="H36" s="16">
        <v>1.7799177500000001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(2301/B37*100)</f>
        <v>84.254851702673022</v>
      </c>
      <c r="D37" s="15">
        <v>430</v>
      </c>
      <c r="E37" s="14">
        <v>31.900542640000001</v>
      </c>
      <c r="F37" s="16">
        <v>2.4048500399999999</v>
      </c>
      <c r="G37" s="14">
        <v>68.099457360000002</v>
      </c>
      <c r="H37" s="16">
        <v>2.4048500399999999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50.159250180000001</v>
      </c>
      <c r="F39" s="16">
        <v>2.0067114400000001</v>
      </c>
      <c r="G39" s="14">
        <v>49.840749819999999</v>
      </c>
      <c r="H39" s="16">
        <v>2.0067114400000001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(5683/B40*100)</f>
        <v>82.100548974284891</v>
      </c>
      <c r="D40" s="15">
        <v>1239</v>
      </c>
      <c r="E40" s="14">
        <v>34.506609310000002</v>
      </c>
      <c r="F40" s="16">
        <v>1.9295083399999999</v>
      </c>
      <c r="G40" s="14">
        <v>65.493390689999998</v>
      </c>
      <c r="H40" s="16">
        <v>1.9295083399999999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(2375/B41*100)</f>
        <v>83.216538192011214</v>
      </c>
      <c r="D41" s="15">
        <v>479</v>
      </c>
      <c r="E41" s="14">
        <v>31.363227169999998</v>
      </c>
      <c r="F41" s="16">
        <v>2.2360974699999998</v>
      </c>
      <c r="G41" s="14">
        <v>68.636772829999998</v>
      </c>
      <c r="H41" s="16">
        <v>2.2360974699999998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83.276353847089055</v>
      </c>
      <c r="D42" s="15">
        <f>IF(COUNT(D7:D41) &gt; 0, AVERAGE(D7:D41), "—")</f>
        <v>605.96875</v>
      </c>
      <c r="E42" s="14">
        <f>IF(COUNT(E7:E41) &gt; 0, AVERAGE(E7:E41), "—")</f>
        <v>29.528842054062505</v>
      </c>
      <c r="F42" s="16">
        <f>IF(COUNT(F7:F41) &gt; 0, SQRT(SUMSQ(F7:F41)/(COUNT(F7:F41)*COUNT(F7:F41)) ), "—")</f>
        <v>0.37132830112550436</v>
      </c>
      <c r="G42" s="14">
        <f>IF(COUNT(G7:G41) &gt; 0, AVERAGE(G7:G41), "—")</f>
        <v>70.471157945937506</v>
      </c>
      <c r="H42" s="16">
        <f>IF(COUNT(H7:H41) &gt; 0, SQRT(SUMSQ(H7:H41)/(COUNT(H7:H41)*COUNT(H7:H41)) ), "—")</f>
        <v>0.37132830112550436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(10502/B46*100)</f>
        <v>86.987492752422753</v>
      </c>
      <c r="D46" s="15">
        <v>1571</v>
      </c>
      <c r="E46" s="14">
        <v>41.937495800000001</v>
      </c>
      <c r="F46" s="16">
        <v>1.7618981600000001</v>
      </c>
      <c r="G46" s="14">
        <v>58.062504199999999</v>
      </c>
      <c r="H46" s="16">
        <v>1.7618981600000001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(2373/B47*100)</f>
        <v>84.05951115834219</v>
      </c>
      <c r="D47" s="15">
        <v>450</v>
      </c>
      <c r="E47" s="14">
        <v>36.649143530000003</v>
      </c>
      <c r="F47" s="16">
        <v>2.4065969100000002</v>
      </c>
      <c r="G47" s="14">
        <v>63.350856469999997</v>
      </c>
      <c r="H47" s="16">
        <v>2.4065969100000002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(3865/B48*100)</f>
        <v>82.550192225544635</v>
      </c>
      <c r="D48" s="15">
        <v>817</v>
      </c>
      <c r="E48" s="14">
        <v>35.821079789999999</v>
      </c>
      <c r="F48" s="16">
        <v>2.4276484100000002</v>
      </c>
      <c r="G48" s="14">
        <v>64.178920210000001</v>
      </c>
      <c r="H48" s="16">
        <v>2.4276484100000002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(5175/B50*100)</f>
        <v>84.037025008119514</v>
      </c>
      <c r="D50" s="15">
        <v>983</v>
      </c>
      <c r="E50" s="14">
        <v>43.906722510000002</v>
      </c>
      <c r="F50" s="16">
        <v>2.3671548100000002</v>
      </c>
      <c r="G50" s="14">
        <v>56.093277489999998</v>
      </c>
      <c r="H50" s="16">
        <v>2.3671548100000002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42.071113500000003</v>
      </c>
      <c r="F51" s="16">
        <v>2.4006177100000001</v>
      </c>
      <c r="G51" s="14">
        <v>57.928886499999997</v>
      </c>
      <c r="H51" s="16">
        <v>2.4006177100000001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31.969435520000001</v>
      </c>
      <c r="F52" s="16">
        <v>2.16408954</v>
      </c>
      <c r="G52" s="14">
        <v>68.030564479999995</v>
      </c>
      <c r="H52" s="16">
        <v>2.16408954</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(2283/B53*100)</f>
        <v>82.717391304347828</v>
      </c>
      <c r="D53" s="15">
        <v>477</v>
      </c>
      <c r="E53" s="14">
        <v>37.088624199999998</v>
      </c>
      <c r="F53" s="16">
        <v>2.1283793499999999</v>
      </c>
      <c r="G53" s="14">
        <v>62.911375800000002</v>
      </c>
      <c r="H53" s="16">
        <v>2.1283793499999999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26.047807819999999</v>
      </c>
      <c r="F56" s="16">
        <v>2.3822354200000002</v>
      </c>
      <c r="G56" s="14">
        <v>73.952192179999997</v>
      </c>
      <c r="H56" s="16">
        <v>2.3822354200000002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(2652/B61*100)</f>
        <v>82.84910965323337</v>
      </c>
      <c r="D61" s="15">
        <v>549</v>
      </c>
      <c r="E61" s="14">
        <v>35.42993869</v>
      </c>
      <c r="F61" s="16">
        <v>2.3558971999999998</v>
      </c>
      <c r="G61" s="14">
        <v>64.57006131</v>
      </c>
      <c r="H61" s="16">
        <v>2.3558971999999998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27.26409082</v>
      </c>
      <c r="F62" s="16">
        <v>2.1983079600000002</v>
      </c>
      <c r="G62" s="14">
        <v>72.735909179999993</v>
      </c>
      <c r="H62" s="16">
        <v>2.1983079600000002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(2318/B66*100)</f>
        <v>83.652111151208956</v>
      </c>
      <c r="D66" s="15">
        <v>453</v>
      </c>
      <c r="E66" s="14">
        <v>43.178674319999999</v>
      </c>
      <c r="F66" s="16">
        <v>2.3268047200000002</v>
      </c>
      <c r="G66" s="14">
        <v>56.821325680000001</v>
      </c>
      <c r="H66" s="16">
        <v>2.3268047200000002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(2953/B67*100)</f>
        <v>85.346820809248555</v>
      </c>
      <c r="D67" s="15">
        <v>507</v>
      </c>
      <c r="E67" s="14">
        <v>42.107955130000001</v>
      </c>
      <c r="F67" s="16">
        <v>2.6445623</v>
      </c>
      <c r="G67" s="14">
        <v>57.892044869999999</v>
      </c>
      <c r="H67" s="16">
        <v>2.6445623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(2594/B70*100)</f>
        <v>83.488896041197293</v>
      </c>
      <c r="D70" s="15">
        <v>513</v>
      </c>
      <c r="E70" s="14">
        <v>33.05970894</v>
      </c>
      <c r="F70" s="16">
        <v>2.3721702699999998</v>
      </c>
      <c r="G70" s="14">
        <v>66.940291060000007</v>
      </c>
      <c r="H70" s="16">
        <v>2.3721702699999998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35.246087750000001</v>
      </c>
      <c r="F72" s="16">
        <v>2.1037256900000001</v>
      </c>
      <c r="G72" s="14">
        <v>64.753912249999999</v>
      </c>
      <c r="H72" s="16">
        <v>2.1037256900000001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56.620809829999999</v>
      </c>
      <c r="F73" s="16">
        <v>2.2487249299999998</v>
      </c>
      <c r="G73" s="14">
        <v>43.379190170000001</v>
      </c>
      <c r="H73" s="16">
        <v>2.2487249299999998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(2506/B75*100)</f>
        <v>84.405523745368811</v>
      </c>
      <c r="D75" s="15">
        <v>463</v>
      </c>
      <c r="E75" s="14">
        <v>60.203244300000001</v>
      </c>
      <c r="F75" s="16">
        <v>2.3593364000000001</v>
      </c>
      <c r="G75" s="14">
        <v>39.796755699999999</v>
      </c>
      <c r="H75" s="16">
        <v>2.3593364000000001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(5920/B76*100)</f>
        <v>83.204497540407587</v>
      </c>
      <c r="D76" s="15">
        <v>1195</v>
      </c>
      <c r="E76" s="14">
        <v>43.295802690000002</v>
      </c>
      <c r="F76" s="16">
        <v>1.7873748199999999</v>
      </c>
      <c r="G76" s="14">
        <v>56.704197309999998</v>
      </c>
      <c r="H76" s="16">
        <v>1.7873748199999999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(2636/B77*100)</f>
        <v>83.576410906785043</v>
      </c>
      <c r="D77" s="15">
        <v>518</v>
      </c>
      <c r="E77" s="14">
        <v>40.220123139999998</v>
      </c>
      <c r="F77" s="16">
        <v>2.1480888199999999</v>
      </c>
      <c r="G77" s="14">
        <v>59.779876860000002</v>
      </c>
      <c r="H77" s="16">
        <v>2.1480888199999999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(3888/B81*100)</f>
        <v>82.758620689655174</v>
      </c>
      <c r="D81" s="15">
        <v>810</v>
      </c>
      <c r="E81" s="14">
        <v>45.569790869999999</v>
      </c>
      <c r="F81" s="16">
        <v>2.08550061</v>
      </c>
      <c r="G81" s="14">
        <v>54.430209130000001</v>
      </c>
      <c r="H81" s="16">
        <v>2.08550061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239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(5978/B7*100)</f>
        <v>83.456652240681279</v>
      </c>
      <c r="D7" s="15">
        <v>1185</v>
      </c>
      <c r="E7" s="14">
        <v>60.22699489</v>
      </c>
      <c r="F7" s="16">
        <v>1.88056384</v>
      </c>
      <c r="G7" s="14">
        <v>39.77300511</v>
      </c>
      <c r="H7" s="16">
        <v>1.88056384</v>
      </c>
      <c r="I7" s="14" t="s">
        <v>139</v>
      </c>
      <c r="J7" s="16" t="s">
        <v>139</v>
      </c>
      <c r="K7" s="14">
        <v>0</v>
      </c>
      <c r="L7" s="16">
        <v>0</v>
      </c>
      <c r="M7" s="14">
        <v>0</v>
      </c>
      <c r="N7" s="16">
        <v>0</v>
      </c>
      <c r="O7" s="14">
        <v>0</v>
      </c>
      <c r="P7" s="16">
        <v>0</v>
      </c>
      <c r="Q7" s="14">
        <v>0</v>
      </c>
      <c r="R7" s="16">
        <v>0</v>
      </c>
    </row>
    <row r="8" spans="1:18" x14ac:dyDescent="0.25">
      <c r="A8" s="11" t="s">
        <v>140</v>
      </c>
      <c r="B8" s="13">
        <v>3443</v>
      </c>
      <c r="C8" s="14">
        <f>(2864/B8*100)</f>
        <v>83.183270403717685</v>
      </c>
      <c r="D8" s="15">
        <v>579</v>
      </c>
      <c r="E8" s="14">
        <v>58.458883970000002</v>
      </c>
      <c r="F8" s="16">
        <v>1.97193592</v>
      </c>
      <c r="G8" s="14">
        <v>41.541116029999998</v>
      </c>
      <c r="H8" s="16">
        <v>1.97193592</v>
      </c>
      <c r="I8" s="14" t="s">
        <v>139</v>
      </c>
      <c r="J8" s="16" t="s">
        <v>139</v>
      </c>
      <c r="K8" s="14">
        <v>0</v>
      </c>
      <c r="L8" s="16">
        <v>0</v>
      </c>
      <c r="M8" s="14">
        <v>0</v>
      </c>
      <c r="N8" s="16">
        <v>0</v>
      </c>
      <c r="O8" s="14">
        <v>0</v>
      </c>
      <c r="P8" s="16">
        <v>0</v>
      </c>
      <c r="Q8" s="14">
        <v>0</v>
      </c>
      <c r="R8" s="16">
        <v>0</v>
      </c>
    </row>
    <row r="9" spans="1:18" x14ac:dyDescent="0.25">
      <c r="A9" s="11" t="s">
        <v>141</v>
      </c>
      <c r="B9" s="13">
        <v>4752</v>
      </c>
      <c r="C9" s="14">
        <f>(3937/B9*100)</f>
        <v>82.849326599326602</v>
      </c>
      <c r="D9" s="15">
        <v>815</v>
      </c>
      <c r="E9" s="14">
        <v>64.191586009999995</v>
      </c>
      <c r="F9" s="16">
        <v>1.94814234</v>
      </c>
      <c r="G9" s="14">
        <v>35.808413989999998</v>
      </c>
      <c r="H9" s="16">
        <v>1.94814234</v>
      </c>
      <c r="I9" s="14" t="s">
        <v>139</v>
      </c>
      <c r="J9" s="16" t="s">
        <v>139</v>
      </c>
      <c r="K9" s="14">
        <v>0</v>
      </c>
      <c r="L9" s="16">
        <v>0</v>
      </c>
      <c r="M9" s="14">
        <v>0</v>
      </c>
      <c r="N9" s="16">
        <v>0</v>
      </c>
      <c r="O9" s="14">
        <v>0</v>
      </c>
      <c r="P9" s="16">
        <v>0</v>
      </c>
      <c r="Q9" s="14">
        <v>0</v>
      </c>
      <c r="R9" s="16">
        <v>0</v>
      </c>
    </row>
    <row r="10" spans="1:18" x14ac:dyDescent="0.25">
      <c r="A10" s="11" t="s">
        <v>142</v>
      </c>
      <c r="B10" s="13">
        <v>10022</v>
      </c>
      <c r="C10" s="14">
        <f>(8288/B10*100)</f>
        <v>82.698064258631007</v>
      </c>
      <c r="D10" s="15">
        <v>1734</v>
      </c>
      <c r="E10" s="14">
        <v>56.742333340000002</v>
      </c>
      <c r="F10" s="16">
        <v>1.6495637599999999</v>
      </c>
      <c r="G10" s="14">
        <v>43.257666659999998</v>
      </c>
      <c r="H10" s="16">
        <v>1.6495637599999999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(2914/B11*100)</f>
        <v>83.257142857142853</v>
      </c>
      <c r="D11" s="15">
        <v>586</v>
      </c>
      <c r="E11" s="14">
        <v>66.283029760000005</v>
      </c>
      <c r="F11" s="16">
        <v>2.0647406699999999</v>
      </c>
      <c r="G11" s="14">
        <v>33.716970240000002</v>
      </c>
      <c r="H11" s="16">
        <v>2.0647406699999999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(2859/B12*100)</f>
        <v>83.547632963179424</v>
      </c>
      <c r="D12" s="15">
        <v>563</v>
      </c>
      <c r="E12" s="14">
        <v>74.95202578</v>
      </c>
      <c r="F12" s="16">
        <v>1.8322955400000001</v>
      </c>
      <c r="G12" s="14">
        <v>25.04797422</v>
      </c>
      <c r="H12" s="16">
        <v>1.8322955400000001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(3018/B13*100)</f>
        <v>83.786785119378123</v>
      </c>
      <c r="D13" s="15">
        <v>584</v>
      </c>
      <c r="E13" s="14">
        <v>62.55065768</v>
      </c>
      <c r="F13" s="16">
        <v>2.4135170700000002</v>
      </c>
      <c r="G13" s="14">
        <v>37.44934232</v>
      </c>
      <c r="H13" s="16">
        <v>2.4135170700000002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(2317/B14*100)</f>
        <v>83.10616929698709</v>
      </c>
      <c r="D14" s="15">
        <v>471</v>
      </c>
      <c r="E14" s="14">
        <v>66.417677449999999</v>
      </c>
      <c r="F14" s="16">
        <v>2.53182543</v>
      </c>
      <c r="G14" s="14">
        <v>33.582322550000001</v>
      </c>
      <c r="H14" s="16">
        <v>2.53182543</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(2385/B15*100)</f>
        <v>83.304226336011183</v>
      </c>
      <c r="D15" s="15">
        <v>478</v>
      </c>
      <c r="E15" s="14">
        <v>67.170928279999998</v>
      </c>
      <c r="F15" s="16">
        <v>2.11505484</v>
      </c>
      <c r="G15" s="14">
        <v>32.829071720000002</v>
      </c>
      <c r="H15" s="16">
        <v>2.11505484</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(2569/B16*100)</f>
        <v>82.577949212471879</v>
      </c>
      <c r="D16" s="15">
        <v>542</v>
      </c>
      <c r="E16" s="14">
        <v>66.827766260000004</v>
      </c>
      <c r="F16" s="16">
        <v>2.19372203</v>
      </c>
      <c r="G16" s="14">
        <v>33.172233740000003</v>
      </c>
      <c r="H16" s="16">
        <v>2.19372203</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(2647/B17*100)</f>
        <v>82.796371598373469</v>
      </c>
      <c r="D17" s="15">
        <v>550</v>
      </c>
      <c r="E17" s="14">
        <v>54.513105179999997</v>
      </c>
      <c r="F17" s="16">
        <v>1.9864615299999999</v>
      </c>
      <c r="G17" s="14">
        <v>45.486894820000003</v>
      </c>
      <c r="H17" s="16">
        <v>1.9864615299999999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(2236/B18*100)</f>
        <v>82.631189948263113</v>
      </c>
      <c r="D18" s="15">
        <v>470</v>
      </c>
      <c r="E18" s="14">
        <v>74.397170160000002</v>
      </c>
      <c r="F18" s="16">
        <v>2.2110553500000001</v>
      </c>
      <c r="G18" s="14">
        <v>25.602829839999998</v>
      </c>
      <c r="H18" s="16">
        <v>2.2110553500000001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(2383/B19*100)</f>
        <v>83.614035087719301</v>
      </c>
      <c r="D19" s="15">
        <v>467</v>
      </c>
      <c r="E19" s="14">
        <v>63.662105410000002</v>
      </c>
      <c r="F19" s="16">
        <v>2.2896079</v>
      </c>
      <c r="G19" s="14">
        <v>36.337894589999998</v>
      </c>
      <c r="H19" s="16">
        <v>2.2896079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(1449/B20*100)</f>
        <v>83.228029867892019</v>
      </c>
      <c r="D20" s="15">
        <v>292</v>
      </c>
      <c r="E20" s="14">
        <v>68.945478309999999</v>
      </c>
      <c r="F20" s="16">
        <v>2.4906562700000001</v>
      </c>
      <c r="G20" s="14">
        <v>31.054521690000001</v>
      </c>
      <c r="H20" s="16">
        <v>2.4906562700000001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(3122/B22*100)</f>
        <v>85.13771475320425</v>
      </c>
      <c r="D22" s="15">
        <v>545</v>
      </c>
      <c r="E22" s="14">
        <v>68.853199829999994</v>
      </c>
      <c r="F22" s="16">
        <v>1.9791446699999999</v>
      </c>
      <c r="G22" s="14">
        <v>31.146800169999999</v>
      </c>
      <c r="H22" s="16">
        <v>1.9791446699999999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(4806/B23*100)</f>
        <v>82.976519337016569</v>
      </c>
      <c r="D23" s="15">
        <v>986</v>
      </c>
      <c r="E23" s="14">
        <v>65.455828440000005</v>
      </c>
      <c r="F23" s="16">
        <v>2.21990993</v>
      </c>
      <c r="G23" s="14">
        <v>34.544171560000002</v>
      </c>
      <c r="H23" s="16">
        <v>2.21990993</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(2744/B24*100)</f>
        <v>82.925355092172865</v>
      </c>
      <c r="D24" s="15">
        <v>565</v>
      </c>
      <c r="E24" s="14">
        <v>61.305404760000002</v>
      </c>
      <c r="F24" s="16">
        <v>1.8187872899999999</v>
      </c>
      <c r="G24" s="14">
        <v>38.694595239999998</v>
      </c>
      <c r="H24" s="16">
        <v>1.8187872899999999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63.245817580000001</v>
      </c>
      <c r="F25" s="16">
        <v>2.4505021400000002</v>
      </c>
      <c r="G25" s="14">
        <v>36.754182419999999</v>
      </c>
      <c r="H25" s="16">
        <v>2.4505021400000002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(2002/B26*100)</f>
        <v>82.761471682513431</v>
      </c>
      <c r="D26" s="15">
        <v>417</v>
      </c>
      <c r="E26" s="14">
        <v>79.373959720000002</v>
      </c>
      <c r="F26" s="16">
        <v>1.97226759</v>
      </c>
      <c r="G26" s="14">
        <v>20.626040280000002</v>
      </c>
      <c r="H26" s="16">
        <v>1.97226759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(2238/B27*100)</f>
        <v>83.414088706671635</v>
      </c>
      <c r="D27" s="15">
        <v>445</v>
      </c>
      <c r="E27" s="14">
        <v>65.141522850000001</v>
      </c>
      <c r="F27" s="16">
        <v>2.2769570300000002</v>
      </c>
      <c r="G27" s="14">
        <v>34.858477149999999</v>
      </c>
      <c r="H27" s="16">
        <v>2.2769570300000002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(3247/B28*100)</f>
        <v>85.379963186957667</v>
      </c>
      <c r="D28" s="15">
        <v>556</v>
      </c>
      <c r="E28" s="14">
        <v>79.100232779999999</v>
      </c>
      <c r="F28" s="16">
        <v>2.0668100100000002</v>
      </c>
      <c r="G28" s="14">
        <v>20.899767220000001</v>
      </c>
      <c r="H28" s="16">
        <v>2.0668100100000002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67.477567190000002</v>
      </c>
      <c r="F29" s="16">
        <v>2.62556491</v>
      </c>
      <c r="G29" s="14">
        <v>32.522432809999998</v>
      </c>
      <c r="H29" s="16">
        <v>2.62556491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(1886/B30*100)</f>
        <v>83.562250775365527</v>
      </c>
      <c r="D30" s="15">
        <v>371</v>
      </c>
      <c r="E30" s="14">
        <v>70.187614699999997</v>
      </c>
      <c r="F30" s="16">
        <v>2.1153508300000001</v>
      </c>
      <c r="G30" s="14">
        <v>29.812385299999999</v>
      </c>
      <c r="H30" s="16">
        <v>2.1153508300000001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(2251/B31*100)</f>
        <v>83.185513673318553</v>
      </c>
      <c r="D31" s="15">
        <v>455</v>
      </c>
      <c r="E31" s="14">
        <v>57.390699810000001</v>
      </c>
      <c r="F31" s="16">
        <v>2.62469325</v>
      </c>
      <c r="G31" s="14">
        <v>42.609300189999999</v>
      </c>
      <c r="H31" s="16">
        <v>2.62469325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(3055/B33*100)</f>
        <v>83.67570528622295</v>
      </c>
      <c r="D33" s="15">
        <v>596</v>
      </c>
      <c r="E33" s="14">
        <v>72.232288670000003</v>
      </c>
      <c r="F33" s="16">
        <v>2.0448622699999999</v>
      </c>
      <c r="G33" s="14">
        <v>27.767711330000001</v>
      </c>
      <c r="H33" s="16">
        <v>2.0448622699999999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(2554/B34*100)</f>
        <v>84.151565074135092</v>
      </c>
      <c r="D34" s="15">
        <v>481</v>
      </c>
      <c r="E34" s="14">
        <v>73.302210689999995</v>
      </c>
      <c r="F34" s="16">
        <v>2.0337082500000001</v>
      </c>
      <c r="G34" s="14">
        <v>26.697789310000001</v>
      </c>
      <c r="H34" s="16">
        <v>2.0337082500000001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(2399/B35*100)</f>
        <v>82.69562219924164</v>
      </c>
      <c r="D35" s="15">
        <v>502</v>
      </c>
      <c r="E35" s="14">
        <v>73.446081629999995</v>
      </c>
      <c r="F35" s="16">
        <v>2.3435399100000001</v>
      </c>
      <c r="G35" s="14">
        <v>26.553918370000002</v>
      </c>
      <c r="H35" s="16">
        <v>2.3435399100000001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(2835/B36*100)</f>
        <v>83.284371327849598</v>
      </c>
      <c r="D36" s="15">
        <v>569</v>
      </c>
      <c r="E36" s="14">
        <v>65.808378219999994</v>
      </c>
      <c r="F36" s="16">
        <v>2.1203470900000001</v>
      </c>
      <c r="G36" s="14">
        <v>34.191621779999998</v>
      </c>
      <c r="H36" s="16">
        <v>2.1203470900000001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(2301/B37*100)</f>
        <v>84.254851702673022</v>
      </c>
      <c r="D37" s="15">
        <v>430</v>
      </c>
      <c r="E37" s="14">
        <v>64.339064339999993</v>
      </c>
      <c r="F37" s="16">
        <v>2.57143714</v>
      </c>
      <c r="G37" s="14">
        <v>35.66093566</v>
      </c>
      <c r="H37" s="16">
        <v>2.57143714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77.319129480000001</v>
      </c>
      <c r="F39" s="16">
        <v>2.0611012299999998</v>
      </c>
      <c r="G39" s="14">
        <v>22.680870519999999</v>
      </c>
      <c r="H39" s="16">
        <v>2.0611012299999998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(5683/B40*100)</f>
        <v>82.100548974284891</v>
      </c>
      <c r="D40" s="15">
        <v>1239</v>
      </c>
      <c r="E40" s="14">
        <v>67.532784359999994</v>
      </c>
      <c r="F40" s="16">
        <v>1.97021793</v>
      </c>
      <c r="G40" s="14">
        <v>32.467215639999999</v>
      </c>
      <c r="H40" s="16">
        <v>1.97021793</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(2375/B41*100)</f>
        <v>83.216538192011214</v>
      </c>
      <c r="D41" s="15">
        <v>479</v>
      </c>
      <c r="E41" s="14">
        <v>63.355325919999999</v>
      </c>
      <c r="F41" s="16">
        <v>2.3123916200000001</v>
      </c>
      <c r="G41" s="14">
        <v>36.644674080000001</v>
      </c>
      <c r="H41" s="16">
        <v>2.3123916200000001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83.276353847089055</v>
      </c>
      <c r="D42" s="15">
        <f>IF(COUNT(D7:D41) &gt; 0, AVERAGE(D7:D41), "—")</f>
        <v>605.96875</v>
      </c>
      <c r="E42" s="14">
        <f>IF(COUNT(E7:E41) &gt; 0, AVERAGE(E7:E41), "—")</f>
        <v>66.881464170312469</v>
      </c>
      <c r="F42" s="16">
        <f>IF(COUNT(F7:F41) &gt; 0, SQRT(SUMSQ(F7:F41)/(COUNT(F7:F41)*COUNT(F7:F41)) ), "—")</f>
        <v>0.38466649749638171</v>
      </c>
      <c r="G42" s="14">
        <f>IF(COUNT(G7:G41) &gt; 0, AVERAGE(G7:G41), "—")</f>
        <v>33.118535829687495</v>
      </c>
      <c r="H42" s="16">
        <f>IF(COUNT(H7:H41) &gt; 0, SQRT(SUMSQ(H7:H41)/(COUNT(H7:H41)*COUNT(H7:H41)) ), "—")</f>
        <v>0.38466649749638171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(10502/B46*100)</f>
        <v>86.987492752422753</v>
      </c>
      <c r="D46" s="15">
        <v>1571</v>
      </c>
      <c r="E46" s="14">
        <v>80.283930179999999</v>
      </c>
      <c r="F46" s="16">
        <v>1.33127682</v>
      </c>
      <c r="G46" s="14">
        <v>19.716069820000001</v>
      </c>
      <c r="H46" s="16">
        <v>1.33127682</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(2373/B47*100)</f>
        <v>84.05951115834219</v>
      </c>
      <c r="D47" s="15">
        <v>450</v>
      </c>
      <c r="E47" s="14">
        <v>69.039218750000003</v>
      </c>
      <c r="F47" s="16">
        <v>2.0597212800000002</v>
      </c>
      <c r="G47" s="14">
        <v>30.96078125</v>
      </c>
      <c r="H47" s="16">
        <v>2.0597212800000002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(3865/B48*100)</f>
        <v>82.550192225544635</v>
      </c>
      <c r="D48" s="15">
        <v>817</v>
      </c>
      <c r="E48" s="14">
        <v>75.402977559999997</v>
      </c>
      <c r="F48" s="16">
        <v>2.1026009800000001</v>
      </c>
      <c r="G48" s="14">
        <v>24.59702244</v>
      </c>
      <c r="H48" s="16">
        <v>2.1026009800000001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(5175/B50*100)</f>
        <v>84.037025008119514</v>
      </c>
      <c r="D50" s="15">
        <v>983</v>
      </c>
      <c r="E50" s="14">
        <v>67.406727309999994</v>
      </c>
      <c r="F50" s="16">
        <v>1.72465124</v>
      </c>
      <c r="G50" s="14">
        <v>32.593272689999999</v>
      </c>
      <c r="H50" s="16">
        <v>1.72465124</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76.786941819999996</v>
      </c>
      <c r="F51" s="16">
        <v>2.3116071499999999</v>
      </c>
      <c r="G51" s="14">
        <v>23.213058180000001</v>
      </c>
      <c r="H51" s="16">
        <v>2.3116071499999999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70.993348460000007</v>
      </c>
      <c r="F52" s="16">
        <v>1.85230885</v>
      </c>
      <c r="G52" s="14">
        <v>29.00665154</v>
      </c>
      <c r="H52" s="16">
        <v>1.85230885</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(2283/B53*100)</f>
        <v>82.717391304347828</v>
      </c>
      <c r="D53" s="15">
        <v>477</v>
      </c>
      <c r="E53" s="14">
        <v>78.030454710000001</v>
      </c>
      <c r="F53" s="16">
        <v>2.1467748599999998</v>
      </c>
      <c r="G53" s="14">
        <v>21.969545289999999</v>
      </c>
      <c r="H53" s="16">
        <v>2.1467748599999998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(2652/B61*100)</f>
        <v>82.84910965323337</v>
      </c>
      <c r="D61" s="15">
        <v>549</v>
      </c>
      <c r="E61" s="14">
        <v>59.81834782</v>
      </c>
      <c r="F61" s="16">
        <v>2.3147542400000001</v>
      </c>
      <c r="G61" s="14">
        <v>40.18165218</v>
      </c>
      <c r="H61" s="16">
        <v>2.3147542400000001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12.812076040000001</v>
      </c>
      <c r="F62" s="16">
        <v>1.7509895900000001</v>
      </c>
      <c r="G62" s="14">
        <v>4.9385859300000003</v>
      </c>
      <c r="H62" s="16">
        <v>1.14254262</v>
      </c>
      <c r="I62" s="14" t="s">
        <v>139</v>
      </c>
      <c r="J62" s="16" t="s">
        <v>139</v>
      </c>
      <c r="K62" s="14">
        <v>0</v>
      </c>
      <c r="L62" s="16">
        <v>0</v>
      </c>
      <c r="M62" s="14">
        <v>82.249338030000004</v>
      </c>
      <c r="N62" s="16">
        <v>2.0011075800000002</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(2318/B66*100)</f>
        <v>83.652111151208956</v>
      </c>
      <c r="D66" s="15">
        <v>453</v>
      </c>
      <c r="E66" s="14">
        <v>66.024773760000002</v>
      </c>
      <c r="F66" s="16">
        <v>2.1542972100000002</v>
      </c>
      <c r="G66" s="14">
        <v>33.975226239999998</v>
      </c>
      <c r="H66" s="16">
        <v>2.1542972100000002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(2953/B67*100)</f>
        <v>85.346820809248555</v>
      </c>
      <c r="D67" s="15">
        <v>507</v>
      </c>
      <c r="E67" s="14">
        <v>74.812484359999999</v>
      </c>
      <c r="F67" s="16">
        <v>1.7929644600000001</v>
      </c>
      <c r="G67" s="14">
        <v>25.187515640000001</v>
      </c>
      <c r="H67" s="16">
        <v>1.7929644600000001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(2594/B70*100)</f>
        <v>83.488896041197293</v>
      </c>
      <c r="D70" s="15">
        <v>513</v>
      </c>
      <c r="E70" s="14">
        <v>75.921727790000006</v>
      </c>
      <c r="F70" s="16">
        <v>2.3186906899999999</v>
      </c>
      <c r="G70" s="14">
        <v>24.078272210000002</v>
      </c>
      <c r="H70" s="16">
        <v>2.3186906899999999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73.638178679999996</v>
      </c>
      <c r="F72" s="16">
        <v>1.95903201</v>
      </c>
      <c r="G72" s="14">
        <v>26.361821320000001</v>
      </c>
      <c r="H72" s="16">
        <v>1.95903201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73.469849960000005</v>
      </c>
      <c r="F73" s="16">
        <v>2.0607552</v>
      </c>
      <c r="G73" s="14">
        <v>26.530150039999999</v>
      </c>
      <c r="H73" s="16">
        <v>2.0607552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(2506/B75*100)</f>
        <v>84.405523745368811</v>
      </c>
      <c r="D75" s="15">
        <v>463</v>
      </c>
      <c r="E75" s="14">
        <v>73.595920199999995</v>
      </c>
      <c r="F75" s="16">
        <v>1.9406586800000001</v>
      </c>
      <c r="G75" s="14">
        <v>26.404079800000002</v>
      </c>
      <c r="H75" s="16">
        <v>1.9406586800000001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(5920/B76*100)</f>
        <v>83.204497540407587</v>
      </c>
      <c r="D76" s="15">
        <v>1195</v>
      </c>
      <c r="E76" s="14">
        <v>74.970569650000002</v>
      </c>
      <c r="F76" s="16">
        <v>1.4774948800000001</v>
      </c>
      <c r="G76" s="14">
        <v>25.029430349999998</v>
      </c>
      <c r="H76" s="16">
        <v>1.4774948800000001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(2636/B77*100)</f>
        <v>83.576410906785043</v>
      </c>
      <c r="D77" s="15">
        <v>518</v>
      </c>
      <c r="E77" s="14">
        <v>69.339068499999996</v>
      </c>
      <c r="F77" s="16">
        <v>1.8764144300000001</v>
      </c>
      <c r="G77" s="14">
        <v>30.6609315</v>
      </c>
      <c r="H77" s="16">
        <v>1.8764144300000001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(3888/B81*100)</f>
        <v>82.758620689655174</v>
      </c>
      <c r="D81" s="15">
        <v>810</v>
      </c>
      <c r="E81" s="14">
        <v>74.537606960000005</v>
      </c>
      <c r="F81" s="16">
        <v>1.8730954099999999</v>
      </c>
      <c r="G81" s="14">
        <v>25.462393039999998</v>
      </c>
      <c r="H81" s="16">
        <v>1.8730954099999999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(5978/B7*100)</f>
        <v>83.456652240681279</v>
      </c>
      <c r="D7" s="15">
        <v>1185</v>
      </c>
      <c r="E7" s="14">
        <v>29.096202999999999</v>
      </c>
      <c r="F7" s="16">
        <v>1.59711862</v>
      </c>
      <c r="G7" s="14">
        <v>70.903796999999997</v>
      </c>
      <c r="H7" s="16">
        <v>1.59711862</v>
      </c>
      <c r="I7" s="14" t="s">
        <v>139</v>
      </c>
      <c r="J7" s="16" t="s">
        <v>139</v>
      </c>
      <c r="K7" s="14">
        <v>0</v>
      </c>
      <c r="L7" s="16">
        <v>0</v>
      </c>
      <c r="M7" s="14">
        <v>0</v>
      </c>
      <c r="N7" s="16">
        <v>0</v>
      </c>
      <c r="O7" s="14">
        <v>0</v>
      </c>
      <c r="P7" s="16">
        <v>0</v>
      </c>
      <c r="Q7" s="14">
        <v>0</v>
      </c>
      <c r="R7" s="16">
        <v>0</v>
      </c>
    </row>
    <row r="8" spans="1:18" x14ac:dyDescent="0.25">
      <c r="A8" s="11" t="s">
        <v>140</v>
      </c>
      <c r="B8" s="13">
        <v>3443</v>
      </c>
      <c r="C8" s="14">
        <f>(2864/B8*100)</f>
        <v>83.183270403717685</v>
      </c>
      <c r="D8" s="15">
        <v>579</v>
      </c>
      <c r="E8" s="14">
        <v>42.31749456</v>
      </c>
      <c r="F8" s="16">
        <v>2.3079205900000002</v>
      </c>
      <c r="G8" s="14">
        <v>57.68250544</v>
      </c>
      <c r="H8" s="16">
        <v>2.3079205900000002</v>
      </c>
      <c r="I8" s="14" t="s">
        <v>139</v>
      </c>
      <c r="J8" s="16" t="s">
        <v>139</v>
      </c>
      <c r="K8" s="14">
        <v>0</v>
      </c>
      <c r="L8" s="16">
        <v>0</v>
      </c>
      <c r="M8" s="14">
        <v>0</v>
      </c>
      <c r="N8" s="16">
        <v>0</v>
      </c>
      <c r="O8" s="14">
        <v>0</v>
      </c>
      <c r="P8" s="16">
        <v>0</v>
      </c>
      <c r="Q8" s="14">
        <v>0</v>
      </c>
      <c r="R8" s="16">
        <v>0</v>
      </c>
    </row>
    <row r="9" spans="1:18" x14ac:dyDescent="0.25">
      <c r="A9" s="11" t="s">
        <v>141</v>
      </c>
      <c r="B9" s="13">
        <v>4752</v>
      </c>
      <c r="C9" s="14">
        <f>(3937/B9*100)</f>
        <v>82.849326599326602</v>
      </c>
      <c r="D9" s="15">
        <v>815</v>
      </c>
      <c r="E9" s="14">
        <v>36.202731040000003</v>
      </c>
      <c r="F9" s="16">
        <v>1.6191313300000001</v>
      </c>
      <c r="G9" s="14">
        <v>63.797268959999997</v>
      </c>
      <c r="H9" s="16">
        <v>1.6191313300000001</v>
      </c>
      <c r="I9" s="14" t="s">
        <v>139</v>
      </c>
      <c r="J9" s="16" t="s">
        <v>139</v>
      </c>
      <c r="K9" s="14">
        <v>0</v>
      </c>
      <c r="L9" s="16">
        <v>0</v>
      </c>
      <c r="M9" s="14">
        <v>0</v>
      </c>
      <c r="N9" s="16">
        <v>0</v>
      </c>
      <c r="O9" s="14">
        <v>0</v>
      </c>
      <c r="P9" s="16">
        <v>0</v>
      </c>
      <c r="Q9" s="14">
        <v>0</v>
      </c>
      <c r="R9" s="16">
        <v>0</v>
      </c>
    </row>
    <row r="10" spans="1:18" x14ac:dyDescent="0.25">
      <c r="A10" s="11" t="s">
        <v>142</v>
      </c>
      <c r="B10" s="13">
        <v>10022</v>
      </c>
      <c r="C10" s="14">
        <f>(8288/B10*100)</f>
        <v>82.698064258631007</v>
      </c>
      <c r="D10" s="15">
        <v>1734</v>
      </c>
      <c r="E10" s="14">
        <v>31.031506400000001</v>
      </c>
      <c r="F10" s="16">
        <v>1.4512702500000001</v>
      </c>
      <c r="G10" s="14">
        <v>68.968493600000002</v>
      </c>
      <c r="H10" s="16">
        <v>1.4512702500000001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(2914/B11*100)</f>
        <v>83.257142857142853</v>
      </c>
      <c r="D11" s="15">
        <v>586</v>
      </c>
      <c r="E11" s="14">
        <v>46.237947040000002</v>
      </c>
      <c r="F11" s="16">
        <v>2.1925643400000001</v>
      </c>
      <c r="G11" s="14">
        <v>53.762052959999998</v>
      </c>
      <c r="H11" s="16">
        <v>2.1925643400000001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(2859/B12*100)</f>
        <v>83.547632963179424</v>
      </c>
      <c r="D12" s="15">
        <v>563</v>
      </c>
      <c r="E12" s="14">
        <v>34.984656739999998</v>
      </c>
      <c r="F12" s="16">
        <v>2.4520673999999998</v>
      </c>
      <c r="G12" s="14">
        <v>65.015343259999995</v>
      </c>
      <c r="H12" s="16">
        <v>2.4520673999999998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(3018/B13*100)</f>
        <v>83.786785119378123</v>
      </c>
      <c r="D13" s="15">
        <v>584</v>
      </c>
      <c r="E13" s="14">
        <v>38.121876540000002</v>
      </c>
      <c r="F13" s="16">
        <v>2.6755324599999999</v>
      </c>
      <c r="G13" s="14">
        <v>61.878123459999998</v>
      </c>
      <c r="H13" s="16">
        <v>2.6755324599999999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(2317/B14*100)</f>
        <v>83.10616929698709</v>
      </c>
      <c r="D14" s="15">
        <v>471</v>
      </c>
      <c r="E14" s="14">
        <v>24.560583359999999</v>
      </c>
      <c r="F14" s="16">
        <v>2.4340111000000002</v>
      </c>
      <c r="G14" s="14">
        <v>75.439416640000005</v>
      </c>
      <c r="H14" s="16">
        <v>2.4340111000000002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(2385/B15*100)</f>
        <v>83.304226336011183</v>
      </c>
      <c r="D15" s="15">
        <v>478</v>
      </c>
      <c r="E15" s="14">
        <v>21.87154335</v>
      </c>
      <c r="F15" s="16">
        <v>1.9378417299999999</v>
      </c>
      <c r="G15" s="14">
        <v>78.128456650000004</v>
      </c>
      <c r="H15" s="16">
        <v>1.9378417299999999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(2569/B16*100)</f>
        <v>82.577949212471879</v>
      </c>
      <c r="D16" s="15">
        <v>542</v>
      </c>
      <c r="E16" s="14">
        <v>33.837300640000002</v>
      </c>
      <c r="F16" s="16">
        <v>2.02699513</v>
      </c>
      <c r="G16" s="14">
        <v>66.162699360000005</v>
      </c>
      <c r="H16" s="16">
        <v>2.02699513</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(2647/B17*100)</f>
        <v>82.796371598373469</v>
      </c>
      <c r="D17" s="15">
        <v>550</v>
      </c>
      <c r="E17" s="14">
        <v>37.04077479</v>
      </c>
      <c r="F17" s="16">
        <v>1.7630940500000001</v>
      </c>
      <c r="G17" s="14">
        <v>62.95922521</v>
      </c>
      <c r="H17" s="16">
        <v>1.7630940500000001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(2236/B18*100)</f>
        <v>82.631189948263113</v>
      </c>
      <c r="D18" s="15">
        <v>470</v>
      </c>
      <c r="E18" s="14">
        <v>45.804081889999999</v>
      </c>
      <c r="F18" s="16">
        <v>2.7924356100000001</v>
      </c>
      <c r="G18" s="14">
        <v>54.195918110000001</v>
      </c>
      <c r="H18" s="16">
        <v>2.7924356100000001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(2383/B19*100)</f>
        <v>83.614035087719301</v>
      </c>
      <c r="D19" s="15">
        <v>467</v>
      </c>
      <c r="E19" s="14">
        <v>45.744851480000001</v>
      </c>
      <c r="F19" s="16">
        <v>2.6122191300000002</v>
      </c>
      <c r="G19" s="14">
        <v>54.255148519999999</v>
      </c>
      <c r="H19" s="16">
        <v>2.6122191300000002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(1449/B20*100)</f>
        <v>83.228029867892019</v>
      </c>
      <c r="D20" s="15">
        <v>292</v>
      </c>
      <c r="E20" s="14">
        <v>46.997969150000003</v>
      </c>
      <c r="F20" s="16">
        <v>3.1490358199999999</v>
      </c>
      <c r="G20" s="14">
        <v>53.002030849999997</v>
      </c>
      <c r="H20" s="16">
        <v>3.1490358199999999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(3122/B22*100)</f>
        <v>85.13771475320425</v>
      </c>
      <c r="D22" s="15">
        <v>545</v>
      </c>
      <c r="E22" s="14">
        <v>46.510696199999998</v>
      </c>
      <c r="F22" s="16">
        <v>2.61630838</v>
      </c>
      <c r="G22" s="14">
        <v>53.489303800000002</v>
      </c>
      <c r="H22" s="16">
        <v>2.61630838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(4806/B23*100)</f>
        <v>82.976519337016569</v>
      </c>
      <c r="D23" s="15">
        <v>986</v>
      </c>
      <c r="E23" s="14">
        <v>45.232127259999999</v>
      </c>
      <c r="F23" s="16">
        <v>2.3130992899999998</v>
      </c>
      <c r="G23" s="14">
        <v>54.767872740000001</v>
      </c>
      <c r="H23" s="16">
        <v>2.3130992899999998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(2744/B24*100)</f>
        <v>82.925355092172865</v>
      </c>
      <c r="D24" s="15">
        <v>565</v>
      </c>
      <c r="E24" s="14">
        <v>36.797428889999999</v>
      </c>
      <c r="F24" s="16">
        <v>2.2013400399999998</v>
      </c>
      <c r="G24" s="14">
        <v>63.202571110000001</v>
      </c>
      <c r="H24" s="16">
        <v>2.2013400399999998</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24.35878791</v>
      </c>
      <c r="F25" s="16">
        <v>2.04579757</v>
      </c>
      <c r="G25" s="14">
        <v>75.641212089999996</v>
      </c>
      <c r="H25" s="16">
        <v>2.04579757</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(2002/B26*100)</f>
        <v>82.761471682513431</v>
      </c>
      <c r="D26" s="15">
        <v>417</v>
      </c>
      <c r="E26" s="14">
        <v>35.099477409999999</v>
      </c>
      <c r="F26" s="16">
        <v>2.4258229199999999</v>
      </c>
      <c r="G26" s="14">
        <v>64.900522589999994</v>
      </c>
      <c r="H26" s="16">
        <v>2.4258229199999999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(2238/B27*100)</f>
        <v>83.414088706671635</v>
      </c>
      <c r="D27" s="15">
        <v>445</v>
      </c>
      <c r="E27" s="14">
        <v>35.051449499999997</v>
      </c>
      <c r="F27" s="16">
        <v>2.4230926300000002</v>
      </c>
      <c r="G27" s="14">
        <v>64.948550499999996</v>
      </c>
      <c r="H27" s="16">
        <v>2.4230926300000002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(3247/B28*100)</f>
        <v>85.379963186957667</v>
      </c>
      <c r="D28" s="15">
        <v>556</v>
      </c>
      <c r="E28" s="14">
        <v>48.022856279999999</v>
      </c>
      <c r="F28" s="16">
        <v>2.3045507600000001</v>
      </c>
      <c r="G28" s="14">
        <v>51.977143720000001</v>
      </c>
      <c r="H28" s="16">
        <v>2.3045507600000001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40.84175784</v>
      </c>
      <c r="F29" s="16">
        <v>2.1936852999999998</v>
      </c>
      <c r="G29" s="14">
        <v>59.15824216</v>
      </c>
      <c r="H29" s="16">
        <v>2.1936852999999998</v>
      </c>
      <c r="I29" s="14" t="s">
        <v>139</v>
      </c>
      <c r="J29" s="16" t="s">
        <v>139</v>
      </c>
      <c r="K29" s="14">
        <v>0</v>
      </c>
      <c r="L29" s="16">
        <v>0</v>
      </c>
      <c r="M29" s="14">
        <v>0</v>
      </c>
      <c r="N29" s="16">
        <v>0</v>
      </c>
      <c r="O29" s="14">
        <v>0</v>
      </c>
      <c r="P29" s="16">
        <v>0</v>
      </c>
      <c r="Q29" s="14">
        <v>0</v>
      </c>
      <c r="R29" s="16">
        <v>0</v>
      </c>
    </row>
    <row r="30" spans="1:18" x14ac:dyDescent="0.25">
      <c r="A30" s="11" t="s">
        <v>163</v>
      </c>
      <c r="B30" s="13">
        <v>2257</v>
      </c>
      <c r="C30" s="14">
        <f>(1886/B30*100)</f>
        <v>83.562250775365527</v>
      </c>
      <c r="D30" s="15">
        <v>371</v>
      </c>
      <c r="E30" s="14">
        <v>22.77364408</v>
      </c>
      <c r="F30" s="16">
        <v>2.17551549</v>
      </c>
      <c r="G30" s="14">
        <v>77.226355920000003</v>
      </c>
      <c r="H30" s="16">
        <v>2.17551549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(2251/B31*100)</f>
        <v>83.185513673318553</v>
      </c>
      <c r="D31" s="15">
        <v>455</v>
      </c>
      <c r="E31" s="14">
        <v>47.082976039999998</v>
      </c>
      <c r="F31" s="16">
        <v>2.27816771</v>
      </c>
      <c r="G31" s="14">
        <v>52.917023960000002</v>
      </c>
      <c r="H31" s="16">
        <v>2.27816771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(3055/B33*100)</f>
        <v>83.67570528622295</v>
      </c>
      <c r="D33" s="15">
        <v>596</v>
      </c>
      <c r="E33" s="14">
        <v>34.379819419999997</v>
      </c>
      <c r="F33" s="16">
        <v>2.1858841400000002</v>
      </c>
      <c r="G33" s="14">
        <v>65.620180579999996</v>
      </c>
      <c r="H33" s="16">
        <v>2.1858841400000002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(2554/B34*100)</f>
        <v>84.151565074135092</v>
      </c>
      <c r="D34" s="15">
        <v>481</v>
      </c>
      <c r="E34" s="14">
        <v>38.652142300000001</v>
      </c>
      <c r="F34" s="16">
        <v>1.86227874</v>
      </c>
      <c r="G34" s="14">
        <v>61.347857699999999</v>
      </c>
      <c r="H34" s="16">
        <v>1.86227874</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(2399/B35*100)</f>
        <v>82.69562219924164</v>
      </c>
      <c r="D35" s="15">
        <v>502</v>
      </c>
      <c r="E35" s="14">
        <v>42.987979789999997</v>
      </c>
      <c r="F35" s="16">
        <v>2.4863955199999999</v>
      </c>
      <c r="G35" s="14">
        <v>57.012020210000003</v>
      </c>
      <c r="H35" s="16">
        <v>2.4863955199999999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(2835/B36*100)</f>
        <v>83.284371327849598</v>
      </c>
      <c r="D36" s="15">
        <v>569</v>
      </c>
      <c r="E36" s="14">
        <v>37.078626329999999</v>
      </c>
      <c r="F36" s="16">
        <v>2.4052902399999998</v>
      </c>
      <c r="G36" s="14">
        <v>62.921373670000001</v>
      </c>
      <c r="H36" s="16">
        <v>2.4052902399999998</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(2301/B37*100)</f>
        <v>84.254851702673022</v>
      </c>
      <c r="D37" s="15">
        <v>430</v>
      </c>
      <c r="E37" s="14">
        <v>40.863471199999999</v>
      </c>
      <c r="F37" s="16">
        <v>2.3846408700000001</v>
      </c>
      <c r="G37" s="14">
        <v>59.136528800000001</v>
      </c>
      <c r="H37" s="16">
        <v>2.3846408700000001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53.89210808</v>
      </c>
      <c r="F39" s="16">
        <v>2.6501372399999998</v>
      </c>
      <c r="G39" s="14">
        <v>46.10789192</v>
      </c>
      <c r="H39" s="16">
        <v>2.6501372399999998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(5683/B40*100)</f>
        <v>82.100548974284891</v>
      </c>
      <c r="D40" s="15">
        <v>1239</v>
      </c>
      <c r="E40" s="14">
        <v>34.518385950000003</v>
      </c>
      <c r="F40" s="16">
        <v>1.9595535399999999</v>
      </c>
      <c r="G40" s="14">
        <v>65.481614050000005</v>
      </c>
      <c r="H40" s="16">
        <v>1.9595535399999999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(2375/B41*100)</f>
        <v>83.216538192011214</v>
      </c>
      <c r="D41" s="15">
        <v>479</v>
      </c>
      <c r="E41" s="14">
        <v>34.235430020000003</v>
      </c>
      <c r="F41" s="16">
        <v>2.1879454699999998</v>
      </c>
      <c r="G41" s="14">
        <v>65.764569980000005</v>
      </c>
      <c r="H41" s="16">
        <v>2.1879454699999998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83.276353847089055</v>
      </c>
      <c r="D42" s="15">
        <f>IF(COUNT(D7:D41) &gt; 0, AVERAGE(D7:D41), "—")</f>
        <v>605.96875</v>
      </c>
      <c r="E42" s="14">
        <f>IF(COUNT(E7:E41) &gt; 0, AVERAGE(E7:E41), "—")</f>
        <v>37.882146390000003</v>
      </c>
      <c r="F42" s="16">
        <f>IF(COUNT(F7:F41) &gt; 0, SQRT(SUMSQ(F7:F41)/(COUNT(F7:F41)*COUNT(F7:F41)) ), "—")</f>
        <v>0.40335194685326525</v>
      </c>
      <c r="G42" s="14">
        <f>IF(COUNT(G7:G41) &gt; 0, AVERAGE(G7:G41), "—")</f>
        <v>62.117853610000004</v>
      </c>
      <c r="H42" s="16">
        <f>IF(COUNT(H7:H41) &gt; 0, SQRT(SUMSQ(H7:H41)/(COUNT(H7:H41)*COUNT(H7:H41)) ), "—")</f>
        <v>0.40335194685326525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(10502/B46*100)</f>
        <v>86.987492752422753</v>
      </c>
      <c r="D46" s="15">
        <v>1571</v>
      </c>
      <c r="E46" s="14">
        <v>51.697467600000003</v>
      </c>
      <c r="F46" s="16">
        <v>1.65289106</v>
      </c>
      <c r="G46" s="14">
        <v>48.302532399999997</v>
      </c>
      <c r="H46" s="16">
        <v>1.65289106</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(2373/B47*100)</f>
        <v>84.05951115834219</v>
      </c>
      <c r="D47" s="15">
        <v>450</v>
      </c>
      <c r="E47" s="14">
        <v>50.556423420000002</v>
      </c>
      <c r="F47" s="16">
        <v>2.7917013599999998</v>
      </c>
      <c r="G47" s="14">
        <v>49.443576579999998</v>
      </c>
      <c r="H47" s="16">
        <v>2.7917013599999998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(3865/B48*100)</f>
        <v>82.550192225544635</v>
      </c>
      <c r="D48" s="15">
        <v>817</v>
      </c>
      <c r="E48" s="14">
        <v>36.786164620000001</v>
      </c>
      <c r="F48" s="16">
        <v>2.2370147199999999</v>
      </c>
      <c r="G48" s="14">
        <v>63.213835379999999</v>
      </c>
      <c r="H48" s="16">
        <v>2.2370147199999999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(5175/B50*100)</f>
        <v>84.037025008119514</v>
      </c>
      <c r="D50" s="15">
        <v>983</v>
      </c>
      <c r="E50" s="14">
        <v>53.198460079999997</v>
      </c>
      <c r="F50" s="16">
        <v>2.0564800499999998</v>
      </c>
      <c r="G50" s="14">
        <v>46.801539920000003</v>
      </c>
      <c r="H50" s="16">
        <v>2.0564800499999998</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42.27229397</v>
      </c>
      <c r="F51" s="16">
        <v>2.1831014500000001</v>
      </c>
      <c r="G51" s="14">
        <v>57.72770603</v>
      </c>
      <c r="H51" s="16">
        <v>2.1831014500000001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43.691117689999999</v>
      </c>
      <c r="F52" s="16">
        <v>2.0779973699999998</v>
      </c>
      <c r="G52" s="14">
        <v>56.308882310000001</v>
      </c>
      <c r="H52" s="16">
        <v>2.0779973699999998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(2283/B53*100)</f>
        <v>82.717391304347828</v>
      </c>
      <c r="D53" s="15">
        <v>477</v>
      </c>
      <c r="E53" s="14">
        <v>47.922164709999997</v>
      </c>
      <c r="F53" s="16">
        <v>2.2418875900000002</v>
      </c>
      <c r="G53" s="14">
        <v>52.077835290000003</v>
      </c>
      <c r="H53" s="16">
        <v>2.2418875900000002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22.120374829999999</v>
      </c>
      <c r="F56" s="16">
        <v>1.5407354200000001</v>
      </c>
      <c r="G56" s="14">
        <v>77.879625169999997</v>
      </c>
      <c r="H56" s="16">
        <v>1.5407354200000001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(2652/B61*100)</f>
        <v>82.84910965323337</v>
      </c>
      <c r="D61" s="15">
        <v>549</v>
      </c>
      <c r="E61" s="14">
        <v>46.250551170000001</v>
      </c>
      <c r="F61" s="16">
        <v>2.3481409200000001</v>
      </c>
      <c r="G61" s="14">
        <v>53.749448829999999</v>
      </c>
      <c r="H61" s="16">
        <v>2.3481409200000001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23.154280289999999</v>
      </c>
      <c r="F62" s="16">
        <v>2.1674833800000002</v>
      </c>
      <c r="G62" s="14">
        <v>76.845719709999997</v>
      </c>
      <c r="H62" s="16">
        <v>2.1674833800000002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(2318/B66*100)</f>
        <v>83.652111151208956</v>
      </c>
      <c r="D66" s="15">
        <v>453</v>
      </c>
      <c r="E66" s="14">
        <v>51.387059649999998</v>
      </c>
      <c r="F66" s="16">
        <v>2.2380689199999999</v>
      </c>
      <c r="G66" s="14">
        <v>48.612940350000002</v>
      </c>
      <c r="H66" s="16">
        <v>2.2380689199999999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(2953/B67*100)</f>
        <v>85.346820809248555</v>
      </c>
      <c r="D67" s="15">
        <v>507</v>
      </c>
      <c r="E67" s="14">
        <v>45.649917000000002</v>
      </c>
      <c r="F67" s="16">
        <v>2.1835400200000001</v>
      </c>
      <c r="G67" s="14">
        <v>54.350082999999998</v>
      </c>
      <c r="H67" s="16">
        <v>2.1835400200000001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(2594/B70*100)</f>
        <v>83.488896041197293</v>
      </c>
      <c r="D70" s="15">
        <v>513</v>
      </c>
      <c r="E70" s="14">
        <v>43.272780959999999</v>
      </c>
      <c r="F70" s="16">
        <v>2.32797345</v>
      </c>
      <c r="G70" s="14">
        <v>56.727219040000001</v>
      </c>
      <c r="H70" s="16">
        <v>2.32797345</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33.944435220000003</v>
      </c>
      <c r="F72" s="16">
        <v>1.7946312799999999</v>
      </c>
      <c r="G72" s="14">
        <v>66.055564779999997</v>
      </c>
      <c r="H72" s="16">
        <v>1.7946312799999999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54.527664090000002</v>
      </c>
      <c r="F73" s="16">
        <v>2.1676105899999998</v>
      </c>
      <c r="G73" s="14">
        <v>45.472335909999998</v>
      </c>
      <c r="H73" s="16">
        <v>2.1676105899999998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(2506/B75*100)</f>
        <v>84.405523745368811</v>
      </c>
      <c r="D75" s="15">
        <v>463</v>
      </c>
      <c r="E75" s="14">
        <v>60.145653510000002</v>
      </c>
      <c r="F75" s="16">
        <v>2.3295747499999999</v>
      </c>
      <c r="G75" s="14">
        <v>39.854346489999998</v>
      </c>
      <c r="H75" s="16">
        <v>2.3295747499999999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(5920/B76*100)</f>
        <v>83.204497540407587</v>
      </c>
      <c r="D76" s="15">
        <v>1195</v>
      </c>
      <c r="E76" s="14">
        <v>49.282930790000002</v>
      </c>
      <c r="F76" s="16">
        <v>1.7167856100000001</v>
      </c>
      <c r="G76" s="14">
        <v>50.717069209999998</v>
      </c>
      <c r="H76" s="16">
        <v>1.7167856100000001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(2636/B77*100)</f>
        <v>83.576410906785043</v>
      </c>
      <c r="D77" s="15">
        <v>518</v>
      </c>
      <c r="E77" s="14">
        <v>52.679744579999998</v>
      </c>
      <c r="F77" s="16">
        <v>2.2408141600000002</v>
      </c>
      <c r="G77" s="14">
        <v>47.320255420000002</v>
      </c>
      <c r="H77" s="16">
        <v>2.2408141600000002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(3888/B81*100)</f>
        <v>82.758620689655174</v>
      </c>
      <c r="D81" s="15">
        <v>810</v>
      </c>
      <c r="E81" s="14">
        <v>53.43904629</v>
      </c>
      <c r="F81" s="16">
        <v>2.3138499600000002</v>
      </c>
      <c r="G81" s="14">
        <v>46.56095371</v>
      </c>
      <c r="H81" s="16">
        <v>2.3138499600000002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(5978/B7*100)</f>
        <v>83.456652240681279</v>
      </c>
      <c r="D7" s="15">
        <v>1185</v>
      </c>
      <c r="E7" s="14">
        <v>25.27077379</v>
      </c>
      <c r="F7" s="16">
        <v>1.65072471</v>
      </c>
      <c r="G7" s="14">
        <v>74.729226209999993</v>
      </c>
      <c r="H7" s="16">
        <v>1.65072471</v>
      </c>
      <c r="I7" s="14" t="s">
        <v>139</v>
      </c>
      <c r="J7" s="16" t="s">
        <v>139</v>
      </c>
      <c r="K7" s="14">
        <v>0</v>
      </c>
      <c r="L7" s="16">
        <v>0</v>
      </c>
      <c r="M7" s="14">
        <v>0</v>
      </c>
      <c r="N7" s="16">
        <v>0</v>
      </c>
      <c r="O7" s="14">
        <v>0</v>
      </c>
      <c r="P7" s="16">
        <v>0</v>
      </c>
      <c r="Q7" s="14">
        <v>0</v>
      </c>
      <c r="R7" s="16">
        <v>0</v>
      </c>
    </row>
    <row r="8" spans="1:18" x14ac:dyDescent="0.25">
      <c r="A8" s="11" t="s">
        <v>140</v>
      </c>
      <c r="B8" s="13">
        <v>3443</v>
      </c>
      <c r="C8" s="14">
        <f>(2864/B8*100)</f>
        <v>83.183270403717685</v>
      </c>
      <c r="D8" s="15">
        <v>579</v>
      </c>
      <c r="E8" s="14">
        <v>42.161092609999997</v>
      </c>
      <c r="F8" s="16">
        <v>2.20502398</v>
      </c>
      <c r="G8" s="14">
        <v>57.838907390000003</v>
      </c>
      <c r="H8" s="16">
        <v>2.20502398</v>
      </c>
      <c r="I8" s="14" t="s">
        <v>139</v>
      </c>
      <c r="J8" s="16" t="s">
        <v>139</v>
      </c>
      <c r="K8" s="14">
        <v>0</v>
      </c>
      <c r="L8" s="16">
        <v>0</v>
      </c>
      <c r="M8" s="14">
        <v>0</v>
      </c>
      <c r="N8" s="16">
        <v>0</v>
      </c>
      <c r="O8" s="14">
        <v>0</v>
      </c>
      <c r="P8" s="16">
        <v>0</v>
      </c>
      <c r="Q8" s="14">
        <v>0</v>
      </c>
      <c r="R8" s="16">
        <v>0</v>
      </c>
    </row>
    <row r="9" spans="1:18" x14ac:dyDescent="0.25">
      <c r="A9" s="11" t="s">
        <v>141</v>
      </c>
      <c r="B9" s="13">
        <v>4752</v>
      </c>
      <c r="C9" s="14">
        <f>(3937/B9*100)</f>
        <v>82.849326599326602</v>
      </c>
      <c r="D9" s="15">
        <v>815</v>
      </c>
      <c r="E9" s="14">
        <v>39.94522448</v>
      </c>
      <c r="F9" s="16">
        <v>1.73507177</v>
      </c>
      <c r="G9" s="14">
        <v>60.05477552</v>
      </c>
      <c r="H9" s="16">
        <v>1.73507177</v>
      </c>
      <c r="I9" s="14" t="s">
        <v>139</v>
      </c>
      <c r="J9" s="16" t="s">
        <v>139</v>
      </c>
      <c r="K9" s="14">
        <v>0</v>
      </c>
      <c r="L9" s="16">
        <v>0</v>
      </c>
      <c r="M9" s="14">
        <v>0</v>
      </c>
      <c r="N9" s="16">
        <v>0</v>
      </c>
      <c r="O9" s="14">
        <v>0</v>
      </c>
      <c r="P9" s="16">
        <v>0</v>
      </c>
      <c r="Q9" s="14">
        <v>0</v>
      </c>
      <c r="R9" s="16">
        <v>0</v>
      </c>
    </row>
    <row r="10" spans="1:18" x14ac:dyDescent="0.25">
      <c r="A10" s="11" t="s">
        <v>142</v>
      </c>
      <c r="B10" s="13">
        <v>10022</v>
      </c>
      <c r="C10" s="14">
        <f>(8288/B10*100)</f>
        <v>82.698064258631007</v>
      </c>
      <c r="D10" s="15">
        <v>1734</v>
      </c>
      <c r="E10" s="14">
        <v>32.047702090000001</v>
      </c>
      <c r="F10" s="16">
        <v>1.509735</v>
      </c>
      <c r="G10" s="14">
        <v>67.952297909999999</v>
      </c>
      <c r="H10" s="16">
        <v>1.509735</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(2914/B11*100)</f>
        <v>83.257142857142853</v>
      </c>
      <c r="D11" s="15">
        <v>586</v>
      </c>
      <c r="E11" s="14">
        <v>50.70565981</v>
      </c>
      <c r="F11" s="16">
        <v>2.38018602</v>
      </c>
      <c r="G11" s="14">
        <v>49.29434019</v>
      </c>
      <c r="H11" s="16">
        <v>2.38018602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(2859/B12*100)</f>
        <v>83.547632963179424</v>
      </c>
      <c r="D12" s="15">
        <v>563</v>
      </c>
      <c r="E12" s="14">
        <v>50.857933950000003</v>
      </c>
      <c r="F12" s="16">
        <v>2.2292560699999999</v>
      </c>
      <c r="G12" s="14">
        <v>49.142066049999997</v>
      </c>
      <c r="H12" s="16">
        <v>2.2292560699999999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(3018/B13*100)</f>
        <v>83.786785119378123</v>
      </c>
      <c r="D13" s="15">
        <v>584</v>
      </c>
      <c r="E13" s="14">
        <v>41.394263600000002</v>
      </c>
      <c r="F13" s="16">
        <v>2.2638737600000001</v>
      </c>
      <c r="G13" s="14">
        <v>58.605736399999998</v>
      </c>
      <c r="H13" s="16">
        <v>2.2638737600000001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(2317/B14*100)</f>
        <v>83.10616929698709</v>
      </c>
      <c r="D14" s="15">
        <v>471</v>
      </c>
      <c r="E14" s="14">
        <v>37.521442610000001</v>
      </c>
      <c r="F14" s="16">
        <v>2.4730745500000002</v>
      </c>
      <c r="G14" s="14">
        <v>62.478557389999999</v>
      </c>
      <c r="H14" s="16">
        <v>2.4730745500000002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(2385/B15*100)</f>
        <v>83.304226336011183</v>
      </c>
      <c r="D15" s="15">
        <v>478</v>
      </c>
      <c r="E15" s="14">
        <v>34.316639379999998</v>
      </c>
      <c r="F15" s="16">
        <v>2.28244669</v>
      </c>
      <c r="G15" s="14">
        <v>65.683360620000002</v>
      </c>
      <c r="H15" s="16">
        <v>2.28244669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(2569/B16*100)</f>
        <v>82.577949212471879</v>
      </c>
      <c r="D16" s="15">
        <v>542</v>
      </c>
      <c r="E16" s="14">
        <v>51.49476464</v>
      </c>
      <c r="F16" s="16">
        <v>2.2702680900000001</v>
      </c>
      <c r="G16" s="14">
        <v>48.50523536</v>
      </c>
      <c r="H16" s="16">
        <v>2.2702680900000001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(2647/B17*100)</f>
        <v>82.796371598373469</v>
      </c>
      <c r="D17" s="15">
        <v>550</v>
      </c>
      <c r="E17" s="14">
        <v>46.075046899999997</v>
      </c>
      <c r="F17" s="16">
        <v>1.76462656</v>
      </c>
      <c r="G17" s="14">
        <v>53.924953100000003</v>
      </c>
      <c r="H17" s="16">
        <v>1.76462656</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(2236/B18*100)</f>
        <v>82.631189948263113</v>
      </c>
      <c r="D18" s="15">
        <v>470</v>
      </c>
      <c r="E18" s="14">
        <v>43.785031869999997</v>
      </c>
      <c r="F18" s="16">
        <v>2.5301172300000001</v>
      </c>
      <c r="G18" s="14">
        <v>56.214968130000003</v>
      </c>
      <c r="H18" s="16">
        <v>2.5301172300000001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(2383/B19*100)</f>
        <v>83.614035087719301</v>
      </c>
      <c r="D19" s="15">
        <v>467</v>
      </c>
      <c r="E19" s="14">
        <v>53.430585460000003</v>
      </c>
      <c r="F19" s="16">
        <v>2.3563856300000001</v>
      </c>
      <c r="G19" s="14">
        <v>46.569414539999997</v>
      </c>
      <c r="H19" s="16">
        <v>2.3563856300000001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(1449/B20*100)</f>
        <v>83.228029867892019</v>
      </c>
      <c r="D20" s="15">
        <v>292</v>
      </c>
      <c r="E20" s="14">
        <v>39.741401920000001</v>
      </c>
      <c r="F20" s="16">
        <v>2.7762769600000001</v>
      </c>
      <c r="G20" s="14">
        <v>60.258598079999999</v>
      </c>
      <c r="H20" s="16">
        <v>2.7762769600000001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(3122/B22*100)</f>
        <v>85.13771475320425</v>
      </c>
      <c r="D22" s="15">
        <v>545</v>
      </c>
      <c r="E22" s="14">
        <v>53.964531450000003</v>
      </c>
      <c r="F22" s="16">
        <v>2.0952585300000002</v>
      </c>
      <c r="G22" s="14">
        <v>46.035468549999997</v>
      </c>
      <c r="H22" s="16">
        <v>2.0952585300000002</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(4806/B23*100)</f>
        <v>82.976519337016569</v>
      </c>
      <c r="D23" s="15">
        <v>986</v>
      </c>
      <c r="E23" s="14">
        <v>48.663680300000003</v>
      </c>
      <c r="F23" s="16">
        <v>2.88010733</v>
      </c>
      <c r="G23" s="14">
        <v>51.336319699999997</v>
      </c>
      <c r="H23" s="16">
        <v>2.88010733</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(2744/B24*100)</f>
        <v>82.925355092172865</v>
      </c>
      <c r="D24" s="15">
        <v>565</v>
      </c>
      <c r="E24" s="14">
        <v>14.92844197</v>
      </c>
      <c r="F24" s="16">
        <v>1.6255487799999999</v>
      </c>
      <c r="G24" s="14">
        <v>85.071558030000006</v>
      </c>
      <c r="H24" s="16">
        <v>1.6255487799999999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24.929577739999999</v>
      </c>
      <c r="F25" s="16">
        <v>1.9628076699999999</v>
      </c>
      <c r="G25" s="14">
        <v>75.070422260000001</v>
      </c>
      <c r="H25" s="16">
        <v>1.9628076699999999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(2002/B26*100)</f>
        <v>82.761471682513431</v>
      </c>
      <c r="D26" s="15">
        <v>417</v>
      </c>
      <c r="E26" s="14">
        <v>30.55045574</v>
      </c>
      <c r="F26" s="16">
        <v>2.2057173799999998</v>
      </c>
      <c r="G26" s="14">
        <v>69.449544259999996</v>
      </c>
      <c r="H26" s="16">
        <v>2.2057173799999998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(2238/B27*100)</f>
        <v>83.414088706671635</v>
      </c>
      <c r="D27" s="15">
        <v>445</v>
      </c>
      <c r="E27" s="14">
        <v>49.500128740000001</v>
      </c>
      <c r="F27" s="16">
        <v>2.1946119199999998</v>
      </c>
      <c r="G27" s="14">
        <v>50.499871259999999</v>
      </c>
      <c r="H27" s="16">
        <v>2.1946119199999998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(3247/B28*100)</f>
        <v>85.379963186957667</v>
      </c>
      <c r="D28" s="15">
        <v>556</v>
      </c>
      <c r="E28" s="14">
        <v>47.335330239999998</v>
      </c>
      <c r="F28" s="16">
        <v>1.77073981</v>
      </c>
      <c r="G28" s="14">
        <v>52.664669760000002</v>
      </c>
      <c r="H28" s="16">
        <v>1.77073981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39.501120659999998</v>
      </c>
      <c r="F29" s="16">
        <v>2.4791179300000001</v>
      </c>
      <c r="G29" s="14">
        <v>60.498879340000002</v>
      </c>
      <c r="H29" s="16">
        <v>2.4791179300000001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(1886/B30*100)</f>
        <v>83.562250775365527</v>
      </c>
      <c r="D30" s="15">
        <v>371</v>
      </c>
      <c r="E30" s="14">
        <v>19.197818089999998</v>
      </c>
      <c r="F30" s="16">
        <v>2.3613728100000002</v>
      </c>
      <c r="G30" s="14">
        <v>80.802181910000002</v>
      </c>
      <c r="H30" s="16">
        <v>2.3613728100000002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(2251/B31*100)</f>
        <v>83.185513673318553</v>
      </c>
      <c r="D31" s="15">
        <v>455</v>
      </c>
      <c r="E31" s="14">
        <v>38.45428691</v>
      </c>
      <c r="F31" s="16">
        <v>2.36464747</v>
      </c>
      <c r="G31" s="14">
        <v>61.54571309</v>
      </c>
      <c r="H31" s="16">
        <v>2.36464747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(3055/B33*100)</f>
        <v>83.67570528622295</v>
      </c>
      <c r="D33" s="15">
        <v>596</v>
      </c>
      <c r="E33" s="14">
        <v>55.558216029999997</v>
      </c>
      <c r="F33" s="16">
        <v>2.3041225700000001</v>
      </c>
      <c r="G33" s="14">
        <v>44.441783970000003</v>
      </c>
      <c r="H33" s="16">
        <v>2.3041225700000001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(2554/B34*100)</f>
        <v>84.151565074135092</v>
      </c>
      <c r="D34" s="15">
        <v>481</v>
      </c>
      <c r="E34" s="14">
        <v>45.567584979999999</v>
      </c>
      <c r="F34" s="16">
        <v>1.85827757</v>
      </c>
      <c r="G34" s="14">
        <v>54.432415020000001</v>
      </c>
      <c r="H34" s="16">
        <v>1.85827757</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(2399/B35*100)</f>
        <v>82.69562219924164</v>
      </c>
      <c r="D35" s="15">
        <v>502</v>
      </c>
      <c r="E35" s="14">
        <v>27.374243369999999</v>
      </c>
      <c r="F35" s="16">
        <v>2.4313934100000001</v>
      </c>
      <c r="G35" s="14">
        <v>72.625756629999998</v>
      </c>
      <c r="H35" s="16">
        <v>2.4313934100000001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(2835/B36*100)</f>
        <v>83.284371327849598</v>
      </c>
      <c r="D36" s="15">
        <v>569</v>
      </c>
      <c r="E36" s="14">
        <v>44.951798279999998</v>
      </c>
      <c r="F36" s="16">
        <v>1.97551744</v>
      </c>
      <c r="G36" s="14">
        <v>55.048201720000002</v>
      </c>
      <c r="H36" s="16">
        <v>1.97551744</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(2301/B37*100)</f>
        <v>84.254851702673022</v>
      </c>
      <c r="D37" s="15">
        <v>430</v>
      </c>
      <c r="E37" s="14">
        <v>38.164672869999997</v>
      </c>
      <c r="F37" s="16">
        <v>2.56489813</v>
      </c>
      <c r="G37" s="14">
        <v>61.835327130000003</v>
      </c>
      <c r="H37" s="16">
        <v>2.56489813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55.284588419999999</v>
      </c>
      <c r="F39" s="16">
        <v>2.3303182200000001</v>
      </c>
      <c r="G39" s="14">
        <v>44.715411580000001</v>
      </c>
      <c r="H39" s="16">
        <v>2.3303182200000001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(5683/B40*100)</f>
        <v>82.100548974284891</v>
      </c>
      <c r="D40" s="15">
        <v>1239</v>
      </c>
      <c r="E40" s="14">
        <v>33.947079359999996</v>
      </c>
      <c r="F40" s="16">
        <v>2.0414090900000001</v>
      </c>
      <c r="G40" s="14">
        <v>66.052920639999996</v>
      </c>
      <c r="H40" s="16">
        <v>2.0414090900000001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(2375/B41*100)</f>
        <v>83.216538192011214</v>
      </c>
      <c r="D41" s="15">
        <v>479</v>
      </c>
      <c r="E41" s="14">
        <v>28.504523549999998</v>
      </c>
      <c r="F41" s="16">
        <v>2.10375618</v>
      </c>
      <c r="G41" s="14">
        <v>71.495476449999998</v>
      </c>
      <c r="H41" s="16">
        <v>2.10375618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83.276353847089055</v>
      </c>
      <c r="D42" s="15">
        <f>IF(COUNT(D7:D41) &gt; 0, AVERAGE(D7:D41), "—")</f>
        <v>605.96875</v>
      </c>
      <c r="E42" s="14">
        <f>IF(COUNT(E7:E41) &gt; 0, AVERAGE(E7:E41), "—")</f>
        <v>40.160176306562505</v>
      </c>
      <c r="F42" s="16">
        <f>IF(COUNT(F7:F41) &gt; 0, SQRT(SUMSQ(F7:F41)/(COUNT(F7:F41)*COUNT(F7:F41)) ), "—")</f>
        <v>0.39078974575842673</v>
      </c>
      <c r="G42" s="14">
        <f>IF(COUNT(G7:G41) &gt; 0, AVERAGE(G7:G41), "—")</f>
        <v>59.839823693437495</v>
      </c>
      <c r="H42" s="16">
        <f>IF(COUNT(H7:H41) &gt; 0, SQRT(SUMSQ(H7:H41)/(COUNT(H7:H41)*COUNT(H7:H41)) ), "—")</f>
        <v>0.39078974575842673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(10502/B46*100)</f>
        <v>86.987492752422753</v>
      </c>
      <c r="D46" s="15">
        <v>1571</v>
      </c>
      <c r="E46" s="14">
        <v>48.090273349999997</v>
      </c>
      <c r="F46" s="16">
        <v>1.5834104099999999</v>
      </c>
      <c r="G46" s="14">
        <v>51.909726650000003</v>
      </c>
      <c r="H46" s="16">
        <v>1.5834104099999999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(2373/B47*100)</f>
        <v>84.05951115834219</v>
      </c>
      <c r="D47" s="15">
        <v>450</v>
      </c>
      <c r="E47" s="14">
        <v>34.467631310000002</v>
      </c>
      <c r="F47" s="16">
        <v>2.43675073</v>
      </c>
      <c r="G47" s="14">
        <v>65.532368689999998</v>
      </c>
      <c r="H47" s="16">
        <v>2.43675073</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(3865/B48*100)</f>
        <v>82.550192225544635</v>
      </c>
      <c r="D48" s="15">
        <v>817</v>
      </c>
      <c r="E48" s="14">
        <v>22.68785591</v>
      </c>
      <c r="F48" s="16">
        <v>1.8428920499999999</v>
      </c>
      <c r="G48" s="14">
        <v>77.312144090000004</v>
      </c>
      <c r="H48" s="16">
        <v>1.8428920499999999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(5175/B50*100)</f>
        <v>84.037025008119514</v>
      </c>
      <c r="D50" s="15">
        <v>983</v>
      </c>
      <c r="E50" s="14">
        <v>46.267896970000002</v>
      </c>
      <c r="F50" s="16">
        <v>2.1333090600000002</v>
      </c>
      <c r="G50" s="14">
        <v>53.732103029999998</v>
      </c>
      <c r="H50" s="16">
        <v>2.1333090600000002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58.299992359999997</v>
      </c>
      <c r="F51" s="16">
        <v>2.5962030399999998</v>
      </c>
      <c r="G51" s="14">
        <v>41.700007640000003</v>
      </c>
      <c r="H51" s="16">
        <v>2.5962030399999998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38.233362870000001</v>
      </c>
      <c r="F52" s="16">
        <v>2.33650234</v>
      </c>
      <c r="G52" s="14">
        <v>61.766637129999999</v>
      </c>
      <c r="H52" s="16">
        <v>2.33650234</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(2283/B53*100)</f>
        <v>82.717391304347828</v>
      </c>
      <c r="D53" s="15">
        <v>477</v>
      </c>
      <c r="E53" s="14">
        <v>40.296220380000001</v>
      </c>
      <c r="F53" s="16">
        <v>2.68939372</v>
      </c>
      <c r="G53" s="14">
        <v>59.703779619999999</v>
      </c>
      <c r="H53" s="16">
        <v>2.68939372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12.521272590000001</v>
      </c>
      <c r="F56" s="16">
        <v>1.65676051</v>
      </c>
      <c r="G56" s="14">
        <v>87.478727410000005</v>
      </c>
      <c r="H56" s="16">
        <v>1.65676051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(2652/B61*100)</f>
        <v>82.84910965323337</v>
      </c>
      <c r="D61" s="15">
        <v>549</v>
      </c>
      <c r="E61" s="14">
        <v>29.62705644</v>
      </c>
      <c r="F61" s="16">
        <v>2.1903288399999998</v>
      </c>
      <c r="G61" s="14">
        <v>70.372943559999996</v>
      </c>
      <c r="H61" s="16">
        <v>2.1903288399999998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11.9229488</v>
      </c>
      <c r="F62" s="16">
        <v>1.6162015000000001</v>
      </c>
      <c r="G62" s="14">
        <v>88.0770512</v>
      </c>
      <c r="H62" s="16">
        <v>1.6162015000000001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(2318/B66*100)</f>
        <v>83.652111151208956</v>
      </c>
      <c r="D66" s="15">
        <v>453</v>
      </c>
      <c r="E66" s="14">
        <v>47.19960176</v>
      </c>
      <c r="F66" s="16">
        <v>2.07588682</v>
      </c>
      <c r="G66" s="14">
        <v>52.80039824</v>
      </c>
      <c r="H66" s="16">
        <v>2.07588682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(2953/B67*100)</f>
        <v>85.346820809248555</v>
      </c>
      <c r="D67" s="15">
        <v>507</v>
      </c>
      <c r="E67" s="14">
        <v>40.969860369999999</v>
      </c>
      <c r="F67" s="16">
        <v>2.1168628799999998</v>
      </c>
      <c r="G67" s="14">
        <v>59.030139630000001</v>
      </c>
      <c r="H67" s="16">
        <v>2.1168628799999998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(2594/B70*100)</f>
        <v>83.488896041197293</v>
      </c>
      <c r="D70" s="15">
        <v>513</v>
      </c>
      <c r="E70" s="14">
        <v>33.209896180000001</v>
      </c>
      <c r="F70" s="16">
        <v>2.2855715499999998</v>
      </c>
      <c r="G70" s="14">
        <v>66.790103819999999</v>
      </c>
      <c r="H70" s="16">
        <v>2.2855715499999998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35.44320338</v>
      </c>
      <c r="F72" s="16">
        <v>1.7587104899999999</v>
      </c>
      <c r="G72" s="14">
        <v>64.55679662</v>
      </c>
      <c r="H72" s="16">
        <v>1.7587104899999999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42.139601380000002</v>
      </c>
      <c r="F73" s="16">
        <v>2.3578852600000002</v>
      </c>
      <c r="G73" s="14">
        <v>57.860398619999998</v>
      </c>
      <c r="H73" s="16">
        <v>2.3578852600000002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(2506/B75*100)</f>
        <v>84.405523745368811</v>
      </c>
      <c r="D75" s="15">
        <v>463</v>
      </c>
      <c r="E75" s="14">
        <v>47.071214750000003</v>
      </c>
      <c r="F75" s="16">
        <v>2.6014850100000002</v>
      </c>
      <c r="G75" s="14">
        <v>52.928785249999997</v>
      </c>
      <c r="H75" s="16">
        <v>2.6014850100000002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(5920/B76*100)</f>
        <v>83.204497540407587</v>
      </c>
      <c r="D76" s="15">
        <v>1195</v>
      </c>
      <c r="E76" s="14">
        <v>33.68061342</v>
      </c>
      <c r="F76" s="16">
        <v>1.7428476799999999</v>
      </c>
      <c r="G76" s="14">
        <v>66.31938658</v>
      </c>
      <c r="H76" s="16">
        <v>1.7428476799999999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(2636/B77*100)</f>
        <v>83.576410906785043</v>
      </c>
      <c r="D77" s="15">
        <v>518</v>
      </c>
      <c r="E77" s="14">
        <v>57.580572600000004</v>
      </c>
      <c r="F77" s="16">
        <v>2.23339892</v>
      </c>
      <c r="G77" s="14">
        <v>42.419427399999996</v>
      </c>
      <c r="H77" s="16">
        <v>2.23339892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(3888/B81*100)</f>
        <v>82.758620689655174</v>
      </c>
      <c r="D81" s="15">
        <v>810</v>
      </c>
      <c r="E81" s="14">
        <v>5.4191607099999999</v>
      </c>
      <c r="F81" s="16">
        <v>1.1177959099999999</v>
      </c>
      <c r="G81" s="14">
        <v>12.207287920000001</v>
      </c>
      <c r="H81" s="16">
        <v>2.0074146399999999</v>
      </c>
      <c r="I81" s="14" t="s">
        <v>139</v>
      </c>
      <c r="J81" s="16" t="s">
        <v>139</v>
      </c>
      <c r="K81" s="14">
        <v>0</v>
      </c>
      <c r="L81" s="16">
        <v>0</v>
      </c>
      <c r="M81" s="14">
        <v>82.373551370000001</v>
      </c>
      <c r="N81" s="16">
        <v>2.56224835</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(5978/B7*100)</f>
        <v>83.456652240681279</v>
      </c>
      <c r="D7" s="15">
        <v>1185</v>
      </c>
      <c r="E7" s="14">
        <v>25.875602220000001</v>
      </c>
      <c r="F7" s="16">
        <v>1.43607475</v>
      </c>
      <c r="G7" s="14">
        <v>74.124397779999995</v>
      </c>
      <c r="H7" s="16">
        <v>1.43607475</v>
      </c>
      <c r="I7" s="14" t="s">
        <v>139</v>
      </c>
      <c r="J7" s="16" t="s">
        <v>139</v>
      </c>
      <c r="K7" s="14">
        <v>0</v>
      </c>
      <c r="L7" s="16">
        <v>0</v>
      </c>
      <c r="M7" s="14">
        <v>0</v>
      </c>
      <c r="N7" s="16">
        <v>0</v>
      </c>
      <c r="O7" s="14">
        <v>0</v>
      </c>
      <c r="P7" s="16">
        <v>0</v>
      </c>
      <c r="Q7" s="14">
        <v>0</v>
      </c>
      <c r="R7" s="16">
        <v>0</v>
      </c>
    </row>
    <row r="8" spans="1:18" x14ac:dyDescent="0.25">
      <c r="A8" s="11" t="s">
        <v>140</v>
      </c>
      <c r="B8" s="13">
        <v>3443</v>
      </c>
      <c r="C8" s="14">
        <f>(2864/B8*100)</f>
        <v>83.183270403717685</v>
      </c>
      <c r="D8" s="15">
        <v>579</v>
      </c>
      <c r="E8" s="14">
        <v>37.789271059999997</v>
      </c>
      <c r="F8" s="16">
        <v>1.9022188499999999</v>
      </c>
      <c r="G8" s="14">
        <v>62.210728940000003</v>
      </c>
      <c r="H8" s="16">
        <v>1.9022188499999999</v>
      </c>
      <c r="I8" s="14" t="s">
        <v>139</v>
      </c>
      <c r="J8" s="16" t="s">
        <v>139</v>
      </c>
      <c r="K8" s="14">
        <v>0</v>
      </c>
      <c r="L8" s="16">
        <v>0</v>
      </c>
      <c r="M8" s="14">
        <v>0</v>
      </c>
      <c r="N8" s="16">
        <v>0</v>
      </c>
      <c r="O8" s="14">
        <v>0</v>
      </c>
      <c r="P8" s="16">
        <v>0</v>
      </c>
      <c r="Q8" s="14">
        <v>0</v>
      </c>
      <c r="R8" s="16">
        <v>0</v>
      </c>
    </row>
    <row r="9" spans="1:18" x14ac:dyDescent="0.25">
      <c r="A9" s="11" t="s">
        <v>141</v>
      </c>
      <c r="B9" s="13">
        <v>4752</v>
      </c>
      <c r="C9" s="14">
        <f>(3937/B9*100)</f>
        <v>82.849326599326602</v>
      </c>
      <c r="D9" s="15">
        <v>815</v>
      </c>
      <c r="E9" s="14">
        <v>45.9313675</v>
      </c>
      <c r="F9" s="16">
        <v>1.9164473500000001</v>
      </c>
      <c r="G9" s="14">
        <v>54.0686325</v>
      </c>
      <c r="H9" s="16">
        <v>1.9164473500000001</v>
      </c>
      <c r="I9" s="14" t="s">
        <v>139</v>
      </c>
      <c r="J9" s="16" t="s">
        <v>139</v>
      </c>
      <c r="K9" s="14">
        <v>0</v>
      </c>
      <c r="L9" s="16">
        <v>0</v>
      </c>
      <c r="M9" s="14">
        <v>0</v>
      </c>
      <c r="N9" s="16">
        <v>0</v>
      </c>
      <c r="O9" s="14">
        <v>0</v>
      </c>
      <c r="P9" s="16">
        <v>0</v>
      </c>
      <c r="Q9" s="14">
        <v>0</v>
      </c>
      <c r="R9" s="16">
        <v>0</v>
      </c>
    </row>
    <row r="10" spans="1:18" x14ac:dyDescent="0.25">
      <c r="A10" s="11" t="s">
        <v>142</v>
      </c>
      <c r="B10" s="13">
        <v>10022</v>
      </c>
      <c r="C10" s="14">
        <f>(8288/B10*100)</f>
        <v>82.698064258631007</v>
      </c>
      <c r="D10" s="15">
        <v>1734</v>
      </c>
      <c r="E10" s="14">
        <v>26.612027909999998</v>
      </c>
      <c r="F10" s="16">
        <v>1.55077815</v>
      </c>
      <c r="G10" s="14">
        <v>73.387972090000005</v>
      </c>
      <c r="H10" s="16">
        <v>1.55077815</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(2914/B11*100)</f>
        <v>83.257142857142853</v>
      </c>
      <c r="D11" s="15">
        <v>586</v>
      </c>
      <c r="E11" s="14">
        <v>37.304375669999999</v>
      </c>
      <c r="F11" s="16">
        <v>2.4651146800000001</v>
      </c>
      <c r="G11" s="14">
        <v>62.695624330000001</v>
      </c>
      <c r="H11" s="16">
        <v>2.4651146800000001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(2859/B12*100)</f>
        <v>83.547632963179424</v>
      </c>
      <c r="D12" s="15">
        <v>563</v>
      </c>
      <c r="E12" s="14">
        <v>37.914637339999999</v>
      </c>
      <c r="F12" s="16">
        <v>2.3263266300000001</v>
      </c>
      <c r="G12" s="14">
        <v>62.085362660000001</v>
      </c>
      <c r="H12" s="16">
        <v>2.3263266300000001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(3018/B13*100)</f>
        <v>83.786785119378123</v>
      </c>
      <c r="D13" s="15">
        <v>584</v>
      </c>
      <c r="E13" s="14">
        <v>31.80858753</v>
      </c>
      <c r="F13" s="16">
        <v>2.1375020500000002</v>
      </c>
      <c r="G13" s="14">
        <v>68.191412470000003</v>
      </c>
      <c r="H13" s="16">
        <v>2.1375020500000002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(2317/B14*100)</f>
        <v>83.10616929698709</v>
      </c>
      <c r="D14" s="15">
        <v>471</v>
      </c>
      <c r="E14" s="14">
        <v>26.87558151</v>
      </c>
      <c r="F14" s="16">
        <v>2.3379708400000001</v>
      </c>
      <c r="G14" s="14">
        <v>73.124418489999996</v>
      </c>
      <c r="H14" s="16">
        <v>2.3379708400000001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(2385/B15*100)</f>
        <v>83.304226336011183</v>
      </c>
      <c r="D15" s="15">
        <v>478</v>
      </c>
      <c r="E15" s="14">
        <v>27.539335789999999</v>
      </c>
      <c r="F15" s="16">
        <v>1.8126212799999999</v>
      </c>
      <c r="G15" s="14">
        <v>72.460664210000004</v>
      </c>
      <c r="H15" s="16">
        <v>1.8126212799999999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(2569/B16*100)</f>
        <v>82.577949212471879</v>
      </c>
      <c r="D16" s="15">
        <v>542</v>
      </c>
      <c r="E16" s="14">
        <v>36.545292770000003</v>
      </c>
      <c r="F16" s="16">
        <v>1.9592295799999999</v>
      </c>
      <c r="G16" s="14">
        <v>63.454707229999997</v>
      </c>
      <c r="H16" s="16">
        <v>1.9592295799999999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(2647/B17*100)</f>
        <v>82.796371598373469</v>
      </c>
      <c r="D17" s="15">
        <v>550</v>
      </c>
      <c r="E17" s="14">
        <v>37.326498190000002</v>
      </c>
      <c r="F17" s="16">
        <v>2.0877894700000001</v>
      </c>
      <c r="G17" s="14">
        <v>62.673501809999998</v>
      </c>
      <c r="H17" s="16">
        <v>2.0877894700000001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(2236/B18*100)</f>
        <v>82.631189948263113</v>
      </c>
      <c r="D18" s="15">
        <v>470</v>
      </c>
      <c r="E18" s="14">
        <v>39.79473316</v>
      </c>
      <c r="F18" s="16">
        <v>2.3393364600000002</v>
      </c>
      <c r="G18" s="14">
        <v>60.20526684</v>
      </c>
      <c r="H18" s="16">
        <v>2.3393364600000002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(2383/B19*100)</f>
        <v>83.614035087719301</v>
      </c>
      <c r="D19" s="15">
        <v>467</v>
      </c>
      <c r="E19" s="14">
        <v>39.482580259999999</v>
      </c>
      <c r="F19" s="16">
        <v>2.1961146199999999</v>
      </c>
      <c r="G19" s="14">
        <v>60.517419740000001</v>
      </c>
      <c r="H19" s="16">
        <v>2.1961146199999999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(1449/B20*100)</f>
        <v>83.228029867892019</v>
      </c>
      <c r="D20" s="15">
        <v>292</v>
      </c>
      <c r="E20" s="14">
        <v>36.6361104</v>
      </c>
      <c r="F20" s="16">
        <v>3.3611289499999999</v>
      </c>
      <c r="G20" s="14">
        <v>63.3638896</v>
      </c>
      <c r="H20" s="16">
        <v>3.3611289499999999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(3122/B22*100)</f>
        <v>85.13771475320425</v>
      </c>
      <c r="D22" s="15">
        <v>545</v>
      </c>
      <c r="E22" s="14">
        <v>42.823408639999997</v>
      </c>
      <c r="F22" s="16">
        <v>2.21264343</v>
      </c>
      <c r="G22" s="14">
        <v>57.176591360000003</v>
      </c>
      <c r="H22" s="16">
        <v>2.21264343</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(4806/B23*100)</f>
        <v>82.976519337016569</v>
      </c>
      <c r="D23" s="15">
        <v>986</v>
      </c>
      <c r="E23" s="14">
        <v>37.073341159999998</v>
      </c>
      <c r="F23" s="16">
        <v>2.2470377400000001</v>
      </c>
      <c r="G23" s="14">
        <v>62.926658840000002</v>
      </c>
      <c r="H23" s="16">
        <v>2.2470377400000001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(2744/B24*100)</f>
        <v>82.925355092172865</v>
      </c>
      <c r="D24" s="15">
        <v>565</v>
      </c>
      <c r="E24" s="14">
        <v>35.936963300000002</v>
      </c>
      <c r="F24" s="16">
        <v>2.0494288200000002</v>
      </c>
      <c r="G24" s="14">
        <v>64.063036699999998</v>
      </c>
      <c r="H24" s="16">
        <v>2.0494288200000002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37.495638730000003</v>
      </c>
      <c r="F25" s="16">
        <v>2.0084637399999998</v>
      </c>
      <c r="G25" s="14">
        <v>62.504361269999997</v>
      </c>
      <c r="H25" s="16">
        <v>2.0084637399999998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(2002/B26*100)</f>
        <v>82.761471682513431</v>
      </c>
      <c r="D26" s="15">
        <v>417</v>
      </c>
      <c r="E26" s="14">
        <v>35.054552039999997</v>
      </c>
      <c r="F26" s="16">
        <v>2.5247539300000001</v>
      </c>
      <c r="G26" s="14">
        <v>64.945447959999996</v>
      </c>
      <c r="H26" s="16">
        <v>2.5247539300000001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(2238/B27*100)</f>
        <v>83.414088706671635</v>
      </c>
      <c r="D27" s="15">
        <v>445</v>
      </c>
      <c r="E27" s="14">
        <v>41.114191230000003</v>
      </c>
      <c r="F27" s="16">
        <v>2.4677747499999998</v>
      </c>
      <c r="G27" s="14">
        <v>58.885808769999997</v>
      </c>
      <c r="H27" s="16">
        <v>2.4677747499999998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(3247/B28*100)</f>
        <v>85.379963186957667</v>
      </c>
      <c r="D28" s="15">
        <v>556</v>
      </c>
      <c r="E28" s="14">
        <v>45.86290898</v>
      </c>
      <c r="F28" s="16">
        <v>2.2454543500000002</v>
      </c>
      <c r="G28" s="14">
        <v>54.13709102</v>
      </c>
      <c r="H28" s="16">
        <v>2.2454543500000002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42.725698479999998</v>
      </c>
      <c r="F29" s="16">
        <v>2.2546339899999999</v>
      </c>
      <c r="G29" s="14">
        <v>57.274301520000002</v>
      </c>
      <c r="H29" s="16">
        <v>2.2546339899999999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(1886/B30*100)</f>
        <v>83.562250775365527</v>
      </c>
      <c r="D30" s="15">
        <v>371</v>
      </c>
      <c r="E30" s="14">
        <v>20.90723663</v>
      </c>
      <c r="F30" s="16">
        <v>2.12459782</v>
      </c>
      <c r="G30" s="14">
        <v>79.09276337</v>
      </c>
      <c r="H30" s="16">
        <v>2.12459782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(2251/B31*100)</f>
        <v>83.185513673318553</v>
      </c>
      <c r="D31" s="15">
        <v>455</v>
      </c>
      <c r="E31" s="14">
        <v>33.004917110000001</v>
      </c>
      <c r="F31" s="16">
        <v>2.16941746</v>
      </c>
      <c r="G31" s="14">
        <v>66.995082890000006</v>
      </c>
      <c r="H31" s="16">
        <v>2.16941746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(3055/B33*100)</f>
        <v>83.67570528622295</v>
      </c>
      <c r="D33" s="15">
        <v>596</v>
      </c>
      <c r="E33" s="14">
        <v>32.685947409999997</v>
      </c>
      <c r="F33" s="16">
        <v>2.24100703</v>
      </c>
      <c r="G33" s="14">
        <v>67.314052590000003</v>
      </c>
      <c r="H33" s="16">
        <v>2.24100703</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(2554/B34*100)</f>
        <v>84.151565074135092</v>
      </c>
      <c r="D34" s="15">
        <v>481</v>
      </c>
      <c r="E34" s="14">
        <v>51.275068359999999</v>
      </c>
      <c r="F34" s="16">
        <v>2.42072449</v>
      </c>
      <c r="G34" s="14">
        <v>48.724931640000001</v>
      </c>
      <c r="H34" s="16">
        <v>2.42072449</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(2399/B35*100)</f>
        <v>82.69562219924164</v>
      </c>
      <c r="D35" s="15">
        <v>502</v>
      </c>
      <c r="E35" s="14">
        <v>38.974373669999999</v>
      </c>
      <c r="F35" s="16">
        <v>2.4554167499999999</v>
      </c>
      <c r="G35" s="14">
        <v>61.025626330000001</v>
      </c>
      <c r="H35" s="16">
        <v>2.4554167499999999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(2835/B36*100)</f>
        <v>83.284371327849598</v>
      </c>
      <c r="D36" s="15">
        <v>569</v>
      </c>
      <c r="E36" s="14">
        <v>39.107695569999997</v>
      </c>
      <c r="F36" s="16">
        <v>1.9782902200000001</v>
      </c>
      <c r="G36" s="14">
        <v>60.892304430000003</v>
      </c>
      <c r="H36" s="16">
        <v>1.9782902200000001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(2301/B37*100)</f>
        <v>84.254851702673022</v>
      </c>
      <c r="D37" s="15">
        <v>430</v>
      </c>
      <c r="E37" s="14">
        <v>36.620565290000002</v>
      </c>
      <c r="F37" s="16">
        <v>2.1479011400000001</v>
      </c>
      <c r="G37" s="14">
        <v>63.379434709999998</v>
      </c>
      <c r="H37" s="16">
        <v>2.1479011400000001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43.651155099999997</v>
      </c>
      <c r="F39" s="16">
        <v>2.2819366699999999</v>
      </c>
      <c r="G39" s="14">
        <v>56.348844900000003</v>
      </c>
      <c r="H39" s="16">
        <v>2.2819366699999999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(5683/B40*100)</f>
        <v>82.100548974284891</v>
      </c>
      <c r="D40" s="15">
        <v>1239</v>
      </c>
      <c r="E40" s="14">
        <v>34.707327749999997</v>
      </c>
      <c r="F40" s="16">
        <v>2.29503507</v>
      </c>
      <c r="G40" s="14">
        <v>65.292672249999995</v>
      </c>
      <c r="H40" s="16">
        <v>2.29503507</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(2375/B41*100)</f>
        <v>83.216538192011214</v>
      </c>
      <c r="D41" s="15">
        <v>479</v>
      </c>
      <c r="E41" s="14">
        <v>27.4175124</v>
      </c>
      <c r="F41" s="16">
        <v>2.1491576299999999</v>
      </c>
      <c r="G41" s="14">
        <v>72.582487599999993</v>
      </c>
      <c r="H41" s="16">
        <v>2.1491576299999999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83.276353847089055</v>
      </c>
      <c r="D42" s="15">
        <f>IF(COUNT(D7:D41) &gt; 0, AVERAGE(D7:D41), "—")</f>
        <v>605.96875</v>
      </c>
      <c r="E42" s="14">
        <f>IF(COUNT(E7:E41) &gt; 0, AVERAGE(E7:E41), "—")</f>
        <v>36.371078223750011</v>
      </c>
      <c r="F42" s="16">
        <f>IF(COUNT(F7:F41) &gt; 0, SQRT(SUMSQ(F7:F41)/(COUNT(F7:F41)*COUNT(F7:F41)) ), "—")</f>
        <v>0.39140953929797334</v>
      </c>
      <c r="G42" s="14">
        <f>IF(COUNT(G7:G41) &gt; 0, AVERAGE(G7:G41), "—")</f>
        <v>63.628921776249989</v>
      </c>
      <c r="H42" s="16">
        <f>IF(COUNT(H7:H41) &gt; 0, SQRT(SUMSQ(H7:H41)/(COUNT(H7:H41)*COUNT(H7:H41)) ), "—")</f>
        <v>0.39140953929797334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(10502/B46*100)</f>
        <v>86.987492752422753</v>
      </c>
      <c r="D46" s="15">
        <v>1571</v>
      </c>
      <c r="E46" s="14">
        <v>48.941558059999998</v>
      </c>
      <c r="F46" s="16">
        <v>1.60260742</v>
      </c>
      <c r="G46" s="14">
        <v>51.058441940000002</v>
      </c>
      <c r="H46" s="16">
        <v>1.60260742</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(2373/B47*100)</f>
        <v>84.05951115834219</v>
      </c>
      <c r="D47" s="15">
        <v>450</v>
      </c>
      <c r="E47" s="14">
        <v>41.032887969999997</v>
      </c>
      <c r="F47" s="16">
        <v>2.5852339400000002</v>
      </c>
      <c r="G47" s="14">
        <v>58.967112030000003</v>
      </c>
      <c r="H47" s="16">
        <v>2.5852339400000002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(3865/B48*100)</f>
        <v>82.550192225544635</v>
      </c>
      <c r="D48" s="15">
        <v>817</v>
      </c>
      <c r="E48" s="14">
        <v>22.905993309999999</v>
      </c>
      <c r="F48" s="16">
        <v>2.0701673500000002</v>
      </c>
      <c r="G48" s="14">
        <v>77.094006690000001</v>
      </c>
      <c r="H48" s="16">
        <v>2.0701673500000002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(5175/B50*100)</f>
        <v>84.037025008119514</v>
      </c>
      <c r="D50" s="15">
        <v>983</v>
      </c>
      <c r="E50" s="14">
        <v>38.607689690000001</v>
      </c>
      <c r="F50" s="16">
        <v>2.3346602700000001</v>
      </c>
      <c r="G50" s="14">
        <v>61.392310309999999</v>
      </c>
      <c r="H50" s="16">
        <v>2.3346602700000001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38.515200440000001</v>
      </c>
      <c r="F51" s="16">
        <v>2.1875631599999998</v>
      </c>
      <c r="G51" s="14">
        <v>61.484799559999999</v>
      </c>
      <c r="H51" s="16">
        <v>2.1875631599999998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40.495042890000001</v>
      </c>
      <c r="F52" s="16">
        <v>2.41197156</v>
      </c>
      <c r="G52" s="14">
        <v>59.504957109999999</v>
      </c>
      <c r="H52" s="16">
        <v>2.41197156</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(2283/B53*100)</f>
        <v>82.717391304347828</v>
      </c>
      <c r="D53" s="15">
        <v>477</v>
      </c>
      <c r="E53" s="14">
        <v>51.4906401</v>
      </c>
      <c r="F53" s="16">
        <v>2.46680199</v>
      </c>
      <c r="G53" s="14">
        <v>48.5093599</v>
      </c>
      <c r="H53" s="16">
        <v>2.46680199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44.359091110000001</v>
      </c>
      <c r="F56" s="16">
        <v>2.1875663799999998</v>
      </c>
      <c r="G56" s="14">
        <v>55.640908889999999</v>
      </c>
      <c r="H56" s="16">
        <v>2.1875663799999998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(2652/B61*100)</f>
        <v>82.84910965323337</v>
      </c>
      <c r="D61" s="15">
        <v>549</v>
      </c>
      <c r="E61" s="14">
        <v>42.667950769999997</v>
      </c>
      <c r="F61" s="16">
        <v>2.5193013299999998</v>
      </c>
      <c r="G61" s="14">
        <v>57.332049230000003</v>
      </c>
      <c r="H61" s="16">
        <v>2.5193013299999998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35.021110759999999</v>
      </c>
      <c r="F62" s="16">
        <v>2.4192824599999998</v>
      </c>
      <c r="G62" s="14">
        <v>64.978889240000001</v>
      </c>
      <c r="H62" s="16">
        <v>2.4192824599999998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(2318/B66*100)</f>
        <v>83.652111151208956</v>
      </c>
      <c r="D66" s="15">
        <v>453</v>
      </c>
      <c r="E66" s="14">
        <v>51.634642059999997</v>
      </c>
      <c r="F66" s="16">
        <v>2.3911443299999999</v>
      </c>
      <c r="G66" s="14">
        <v>48.365357940000003</v>
      </c>
      <c r="H66" s="16">
        <v>2.3911443299999999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(2953/B67*100)</f>
        <v>85.346820809248555</v>
      </c>
      <c r="D67" s="15">
        <v>507</v>
      </c>
      <c r="E67" s="14">
        <v>40.345083819999999</v>
      </c>
      <c r="F67" s="16">
        <v>2.2209511100000001</v>
      </c>
      <c r="G67" s="14">
        <v>59.654916180000001</v>
      </c>
      <c r="H67" s="16">
        <v>2.2209511100000001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(2594/B70*100)</f>
        <v>83.488896041197293</v>
      </c>
      <c r="D70" s="15">
        <v>513</v>
      </c>
      <c r="E70" s="14">
        <v>39.920126009999997</v>
      </c>
      <c r="F70" s="16">
        <v>2.2621055800000001</v>
      </c>
      <c r="G70" s="14">
        <v>60.079873990000003</v>
      </c>
      <c r="H70" s="16">
        <v>2.2621055800000001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29.943439420000001</v>
      </c>
      <c r="F72" s="16">
        <v>1.8335320500000001</v>
      </c>
      <c r="G72" s="14">
        <v>70.056560579999996</v>
      </c>
      <c r="H72" s="16">
        <v>1.8335320500000001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45.799076720000002</v>
      </c>
      <c r="F73" s="16">
        <v>2.2920614000000001</v>
      </c>
      <c r="G73" s="14">
        <v>54.200923279999998</v>
      </c>
      <c r="H73" s="16">
        <v>2.2920614000000001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(2506/B75*100)</f>
        <v>84.405523745368811</v>
      </c>
      <c r="D75" s="15">
        <v>463</v>
      </c>
      <c r="E75" s="14">
        <v>65.398844019999999</v>
      </c>
      <c r="F75" s="16">
        <v>2.2924156299999998</v>
      </c>
      <c r="G75" s="14">
        <v>34.601155980000001</v>
      </c>
      <c r="H75" s="16">
        <v>2.2924156299999998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(5920/B76*100)</f>
        <v>83.204497540407587</v>
      </c>
      <c r="D76" s="15">
        <v>1195</v>
      </c>
      <c r="E76" s="14">
        <v>48.746444660000002</v>
      </c>
      <c r="F76" s="16">
        <v>1.73033386</v>
      </c>
      <c r="G76" s="14">
        <v>51.253555339999998</v>
      </c>
      <c r="H76" s="16">
        <v>1.73033386</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(2636/B77*100)</f>
        <v>83.576410906785043</v>
      </c>
      <c r="D77" s="15">
        <v>518</v>
      </c>
      <c r="E77" s="14">
        <v>47.24845741</v>
      </c>
      <c r="F77" s="16">
        <v>2.17988136</v>
      </c>
      <c r="G77" s="14">
        <v>52.75154259</v>
      </c>
      <c r="H77" s="16">
        <v>2.17988136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(3888/B81*100)</f>
        <v>82.758620689655174</v>
      </c>
      <c r="D81" s="15">
        <v>810</v>
      </c>
      <c r="E81" s="14">
        <v>48.389012049999998</v>
      </c>
      <c r="F81" s="16">
        <v>2.2661039000000001</v>
      </c>
      <c r="G81" s="14">
        <v>51.610987950000002</v>
      </c>
      <c r="H81" s="16">
        <v>2.2661039000000001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(5978/B7*100)</f>
        <v>83.456652240681279</v>
      </c>
      <c r="D7" s="15">
        <v>1185</v>
      </c>
      <c r="E7" s="14">
        <v>64.835784559999993</v>
      </c>
      <c r="F7" s="16">
        <v>1.7212859199999999</v>
      </c>
      <c r="G7" s="14">
        <v>35.16421544</v>
      </c>
      <c r="H7" s="16">
        <v>1.7212859199999999</v>
      </c>
      <c r="I7" s="14" t="s">
        <v>139</v>
      </c>
      <c r="J7" s="16" t="s">
        <v>139</v>
      </c>
      <c r="K7" s="14">
        <v>0</v>
      </c>
      <c r="L7" s="16">
        <v>0</v>
      </c>
      <c r="M7" s="14">
        <v>0</v>
      </c>
      <c r="N7" s="16">
        <v>0</v>
      </c>
      <c r="O7" s="14">
        <v>0</v>
      </c>
      <c r="P7" s="16">
        <v>0</v>
      </c>
      <c r="Q7" s="14">
        <v>0</v>
      </c>
      <c r="R7" s="16">
        <v>0</v>
      </c>
    </row>
    <row r="8" spans="1:18" x14ac:dyDescent="0.25">
      <c r="A8" s="11" t="s">
        <v>140</v>
      </c>
      <c r="B8" s="13">
        <v>3443</v>
      </c>
      <c r="C8" s="14">
        <f>(2864/B8*100)</f>
        <v>83.183270403717685</v>
      </c>
      <c r="D8" s="15">
        <v>579</v>
      </c>
      <c r="E8" s="14">
        <v>65.764047550000001</v>
      </c>
      <c r="F8" s="16">
        <v>2.0603595800000001</v>
      </c>
      <c r="G8" s="14">
        <v>34.235952449999999</v>
      </c>
      <c r="H8" s="16">
        <v>2.0603595800000001</v>
      </c>
      <c r="I8" s="14" t="s">
        <v>139</v>
      </c>
      <c r="J8" s="16" t="s">
        <v>139</v>
      </c>
      <c r="K8" s="14">
        <v>0</v>
      </c>
      <c r="L8" s="16">
        <v>0</v>
      </c>
      <c r="M8" s="14">
        <v>0</v>
      </c>
      <c r="N8" s="16">
        <v>0</v>
      </c>
      <c r="O8" s="14">
        <v>0</v>
      </c>
      <c r="P8" s="16">
        <v>0</v>
      </c>
      <c r="Q8" s="14">
        <v>0</v>
      </c>
      <c r="R8" s="16">
        <v>0</v>
      </c>
    </row>
    <row r="9" spans="1:18" x14ac:dyDescent="0.25">
      <c r="A9" s="11" t="s">
        <v>141</v>
      </c>
      <c r="B9" s="13">
        <v>4752</v>
      </c>
      <c r="C9" s="14">
        <f>(3937/B9*100)</f>
        <v>82.849326599326602</v>
      </c>
      <c r="D9" s="15">
        <v>815</v>
      </c>
      <c r="E9" s="14">
        <v>62.108549019999998</v>
      </c>
      <c r="F9" s="16">
        <v>1.71199352</v>
      </c>
      <c r="G9" s="14">
        <v>37.891450980000002</v>
      </c>
      <c r="H9" s="16">
        <v>1.71199352</v>
      </c>
      <c r="I9" s="14" t="s">
        <v>139</v>
      </c>
      <c r="J9" s="16" t="s">
        <v>139</v>
      </c>
      <c r="K9" s="14">
        <v>0</v>
      </c>
      <c r="L9" s="16">
        <v>0</v>
      </c>
      <c r="M9" s="14">
        <v>0</v>
      </c>
      <c r="N9" s="16">
        <v>0</v>
      </c>
      <c r="O9" s="14">
        <v>0</v>
      </c>
      <c r="P9" s="16">
        <v>0</v>
      </c>
      <c r="Q9" s="14">
        <v>0</v>
      </c>
      <c r="R9" s="16">
        <v>0</v>
      </c>
    </row>
    <row r="10" spans="1:18" x14ac:dyDescent="0.25">
      <c r="A10" s="11" t="s">
        <v>142</v>
      </c>
      <c r="B10" s="13">
        <v>10022</v>
      </c>
      <c r="C10" s="14">
        <f>(8288/B10*100)</f>
        <v>82.698064258631007</v>
      </c>
      <c r="D10" s="15">
        <v>1734</v>
      </c>
      <c r="E10" s="14">
        <v>59.944759910000002</v>
      </c>
      <c r="F10" s="16">
        <v>1.40976177</v>
      </c>
      <c r="G10" s="14">
        <v>40.055240089999998</v>
      </c>
      <c r="H10" s="16">
        <v>1.40976177</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(2914/B11*100)</f>
        <v>83.257142857142853</v>
      </c>
      <c r="D11" s="15">
        <v>586</v>
      </c>
      <c r="E11" s="14">
        <v>76.010490540000006</v>
      </c>
      <c r="F11" s="16">
        <v>2.0241182700000002</v>
      </c>
      <c r="G11" s="14">
        <v>23.989509460000001</v>
      </c>
      <c r="H11" s="16">
        <v>2.0241182700000002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(2859/B12*100)</f>
        <v>83.547632963179424</v>
      </c>
      <c r="D12" s="15">
        <v>563</v>
      </c>
      <c r="E12" s="14">
        <v>72.754423029999998</v>
      </c>
      <c r="F12" s="16">
        <v>2.1263048800000002</v>
      </c>
      <c r="G12" s="14">
        <v>27.245576969999998</v>
      </c>
      <c r="H12" s="16">
        <v>2.1263048800000002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(3018/B13*100)</f>
        <v>83.786785119378123</v>
      </c>
      <c r="D13" s="15">
        <v>584</v>
      </c>
      <c r="E13" s="14">
        <v>70.521589649999996</v>
      </c>
      <c r="F13" s="16">
        <v>2.0951841899999999</v>
      </c>
      <c r="G13" s="14">
        <v>29.478410350000001</v>
      </c>
      <c r="H13" s="16">
        <v>2.0951841899999999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(2317/B14*100)</f>
        <v>83.10616929698709</v>
      </c>
      <c r="D14" s="15">
        <v>471</v>
      </c>
      <c r="E14" s="14">
        <v>60.914298879999997</v>
      </c>
      <c r="F14" s="16">
        <v>2.6390173099999998</v>
      </c>
      <c r="G14" s="14">
        <v>39.085701120000003</v>
      </c>
      <c r="H14" s="16">
        <v>2.6390173099999998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(2385/B15*100)</f>
        <v>83.304226336011183</v>
      </c>
      <c r="D15" s="15">
        <v>478</v>
      </c>
      <c r="E15" s="14">
        <v>67.715649940000006</v>
      </c>
      <c r="F15" s="16">
        <v>1.98823766</v>
      </c>
      <c r="G15" s="14">
        <v>32.284350060000001</v>
      </c>
      <c r="H15" s="16">
        <v>1.98823766</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(2569/B16*100)</f>
        <v>82.577949212471879</v>
      </c>
      <c r="D16" s="15">
        <v>542</v>
      </c>
      <c r="E16" s="14">
        <v>65.474601669999998</v>
      </c>
      <c r="F16" s="16">
        <v>2.1557708400000002</v>
      </c>
      <c r="G16" s="14">
        <v>34.525398330000002</v>
      </c>
      <c r="H16" s="16">
        <v>2.1557708400000002</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(2647/B17*100)</f>
        <v>82.796371598373469</v>
      </c>
      <c r="D17" s="15">
        <v>550</v>
      </c>
      <c r="E17" s="14">
        <v>67.026163789999998</v>
      </c>
      <c r="F17" s="16">
        <v>2.2008872500000001</v>
      </c>
      <c r="G17" s="14">
        <v>32.973836210000002</v>
      </c>
      <c r="H17" s="16">
        <v>2.2008872500000001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(2236/B18*100)</f>
        <v>82.631189948263113</v>
      </c>
      <c r="D18" s="15">
        <v>470</v>
      </c>
      <c r="E18" s="14">
        <v>72.401814689999995</v>
      </c>
      <c r="F18" s="16">
        <v>2.2091017599999998</v>
      </c>
      <c r="G18" s="14">
        <v>27.598185310000002</v>
      </c>
      <c r="H18" s="16">
        <v>2.2091017599999998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(2383/B19*100)</f>
        <v>83.614035087719301</v>
      </c>
      <c r="D19" s="15">
        <v>467</v>
      </c>
      <c r="E19" s="14">
        <v>68.081543699999997</v>
      </c>
      <c r="F19" s="16">
        <v>2.1187541799999998</v>
      </c>
      <c r="G19" s="14">
        <v>31.918456299999999</v>
      </c>
      <c r="H19" s="16">
        <v>2.1187541799999998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(1449/B20*100)</f>
        <v>83.228029867892019</v>
      </c>
      <c r="D20" s="15">
        <v>292</v>
      </c>
      <c r="E20" s="14">
        <v>79.957412320000003</v>
      </c>
      <c r="F20" s="16">
        <v>2.0003955200000001</v>
      </c>
      <c r="G20" s="14">
        <v>20.04258768</v>
      </c>
      <c r="H20" s="16">
        <v>2.0003955200000001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(3122/B22*100)</f>
        <v>85.13771475320425</v>
      </c>
      <c r="D22" s="15">
        <v>545</v>
      </c>
      <c r="E22" s="14">
        <v>62.073977650000003</v>
      </c>
      <c r="F22" s="16">
        <v>1.67988962</v>
      </c>
      <c r="G22" s="14">
        <v>37.926022349999997</v>
      </c>
      <c r="H22" s="16">
        <v>1.67988962</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(4806/B23*100)</f>
        <v>82.976519337016569</v>
      </c>
      <c r="D23" s="15">
        <v>986</v>
      </c>
      <c r="E23" s="14">
        <v>61.640266070000003</v>
      </c>
      <c r="F23" s="16">
        <v>2.35831583</v>
      </c>
      <c r="G23" s="14">
        <v>38.359733929999997</v>
      </c>
      <c r="H23" s="16">
        <v>2.35831583</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(2744/B24*100)</f>
        <v>82.925355092172865</v>
      </c>
      <c r="D24" s="15">
        <v>565</v>
      </c>
      <c r="E24" s="14">
        <v>61.72362579</v>
      </c>
      <c r="F24" s="16">
        <v>1.8853816299999999</v>
      </c>
      <c r="G24" s="14">
        <v>38.27637421</v>
      </c>
      <c r="H24" s="16">
        <v>1.8853816299999999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53.951616629999997</v>
      </c>
      <c r="F25" s="16">
        <v>2.1454572700000001</v>
      </c>
      <c r="G25" s="14">
        <v>46.048383370000003</v>
      </c>
      <c r="H25" s="16">
        <v>2.1454572700000001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(2002/B26*100)</f>
        <v>82.761471682513431</v>
      </c>
      <c r="D26" s="15">
        <v>417</v>
      </c>
      <c r="E26" s="14">
        <v>65.042570889999993</v>
      </c>
      <c r="F26" s="16">
        <v>2.6452083100000001</v>
      </c>
      <c r="G26" s="14">
        <v>34.95742911</v>
      </c>
      <c r="H26" s="16">
        <v>2.6452083100000001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(2238/B27*100)</f>
        <v>83.414088706671635</v>
      </c>
      <c r="D27" s="15">
        <v>445</v>
      </c>
      <c r="E27" s="14">
        <v>65.484569399999998</v>
      </c>
      <c r="F27" s="16">
        <v>2.3245371399999999</v>
      </c>
      <c r="G27" s="14">
        <v>34.515430600000002</v>
      </c>
      <c r="H27" s="16">
        <v>2.3245371399999999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(3247/B28*100)</f>
        <v>85.379963186957667</v>
      </c>
      <c r="D28" s="15">
        <v>556</v>
      </c>
      <c r="E28" s="14">
        <v>71.463001489999996</v>
      </c>
      <c r="F28" s="16">
        <v>2.22898006</v>
      </c>
      <c r="G28" s="14">
        <v>28.53699851</v>
      </c>
      <c r="H28" s="16">
        <v>2.22898006</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69.956388149999995</v>
      </c>
      <c r="F29" s="16">
        <v>2.4615410799999999</v>
      </c>
      <c r="G29" s="14">
        <v>30.043611850000001</v>
      </c>
      <c r="H29" s="16">
        <v>2.4615410799999999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(1886/B30*100)</f>
        <v>83.562250775365527</v>
      </c>
      <c r="D30" s="15">
        <v>371</v>
      </c>
      <c r="E30" s="14">
        <v>65.312217059999995</v>
      </c>
      <c r="F30" s="16">
        <v>2.5646793899999998</v>
      </c>
      <c r="G30" s="14">
        <v>34.687782939999998</v>
      </c>
      <c r="H30" s="16">
        <v>2.5646793899999998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(2251/B31*100)</f>
        <v>83.185513673318553</v>
      </c>
      <c r="D31" s="15">
        <v>455</v>
      </c>
      <c r="E31" s="14">
        <v>64.906724240000003</v>
      </c>
      <c r="F31" s="16">
        <v>2.2078499800000002</v>
      </c>
      <c r="G31" s="14">
        <v>35.093275759999997</v>
      </c>
      <c r="H31" s="16">
        <v>2.2078499800000002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(3055/B33*100)</f>
        <v>83.67570528622295</v>
      </c>
      <c r="D33" s="15">
        <v>596</v>
      </c>
      <c r="E33" s="14">
        <v>69.291377729999994</v>
      </c>
      <c r="F33" s="16">
        <v>2.32371851</v>
      </c>
      <c r="G33" s="14">
        <v>30.708622269999999</v>
      </c>
      <c r="H33" s="16">
        <v>2.32371851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(2554/B34*100)</f>
        <v>84.151565074135092</v>
      </c>
      <c r="D34" s="15">
        <v>481</v>
      </c>
      <c r="E34" s="14">
        <v>75.102995739999997</v>
      </c>
      <c r="F34" s="16">
        <v>2.1427359300000002</v>
      </c>
      <c r="G34" s="14">
        <v>24.897004259999999</v>
      </c>
      <c r="H34" s="16">
        <v>2.1427359300000002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(2399/B35*100)</f>
        <v>82.69562219924164</v>
      </c>
      <c r="D35" s="15">
        <v>502</v>
      </c>
      <c r="E35" s="14">
        <v>66.732609929999995</v>
      </c>
      <c r="F35" s="16">
        <v>2.3016872500000001</v>
      </c>
      <c r="G35" s="14">
        <v>33.267390069999998</v>
      </c>
      <c r="H35" s="16">
        <v>2.3016872500000001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(2835/B36*100)</f>
        <v>83.284371327849598</v>
      </c>
      <c r="D36" s="15">
        <v>569</v>
      </c>
      <c r="E36" s="14">
        <v>68.929008659999994</v>
      </c>
      <c r="F36" s="16">
        <v>2.10010984</v>
      </c>
      <c r="G36" s="14">
        <v>31.070991339999999</v>
      </c>
      <c r="H36" s="16">
        <v>2.10010984</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(2301/B37*100)</f>
        <v>84.254851702673022</v>
      </c>
      <c r="D37" s="15">
        <v>430</v>
      </c>
      <c r="E37" s="14">
        <v>76.971498350000005</v>
      </c>
      <c r="F37" s="16">
        <v>2.0302342100000002</v>
      </c>
      <c r="G37" s="14">
        <v>23.028501649999999</v>
      </c>
      <c r="H37" s="16">
        <v>2.0302342100000002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(2412/B39*100)</f>
        <v>82.096664397549361</v>
      </c>
      <c r="D39" s="15">
        <v>526</v>
      </c>
      <c r="E39" s="14">
        <v>65.601106380000004</v>
      </c>
      <c r="F39" s="16">
        <v>2.3858674</v>
      </c>
      <c r="G39" s="14">
        <v>34.398893620000003</v>
      </c>
      <c r="H39" s="16">
        <v>2.3858674</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(5683/B40*100)</f>
        <v>82.100548974284891</v>
      </c>
      <c r="D40" s="15">
        <v>1239</v>
      </c>
      <c r="E40" s="14">
        <v>65.249655000000004</v>
      </c>
      <c r="F40" s="16">
        <v>1.9652985599999999</v>
      </c>
      <c r="G40" s="14">
        <v>34.750345000000003</v>
      </c>
      <c r="H40" s="16">
        <v>1.9652985599999999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(2375/B41*100)</f>
        <v>83.216538192011214</v>
      </c>
      <c r="D41" s="15">
        <v>479</v>
      </c>
      <c r="E41" s="14">
        <v>60.935834980000003</v>
      </c>
      <c r="F41" s="16">
        <v>2.1562219800000002</v>
      </c>
      <c r="G41" s="14">
        <v>39.064165019999997</v>
      </c>
      <c r="H41" s="16">
        <v>2.1562219800000002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83.276353847089055</v>
      </c>
      <c r="D42" s="15">
        <f>IF(COUNT(D7:D41) &gt; 0, AVERAGE(D7:D41), "—")</f>
        <v>605.96875</v>
      </c>
      <c r="E42" s="14">
        <f>IF(COUNT(E7:E41) &gt; 0, AVERAGE(E7:E41), "—")</f>
        <v>66.996255418437499</v>
      </c>
      <c r="F42" s="16">
        <f>IF(COUNT(F7:F41) &gt; 0, SQRT(SUMSQ(F7:F41)/(COUNT(F7:F41)*COUNT(F7:F41)) ), "—")</f>
        <v>0.38063556431305751</v>
      </c>
      <c r="G42" s="14">
        <f>IF(COUNT(G7:G41) &gt; 0, AVERAGE(G7:G41), "—")</f>
        <v>33.003744581562501</v>
      </c>
      <c r="H42" s="16">
        <f>IF(COUNT(H7:H41) &gt; 0, SQRT(SUMSQ(H7:H41)/(COUNT(H7:H41)*COUNT(H7:H41)) ), "—")</f>
        <v>0.38063556431305751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(10502/B46*100)</f>
        <v>86.987492752422753</v>
      </c>
      <c r="D46" s="15">
        <v>1571</v>
      </c>
      <c r="E46" s="14">
        <v>76.699357199999994</v>
      </c>
      <c r="F46" s="16">
        <v>1.43668605</v>
      </c>
      <c r="G46" s="14">
        <v>23.300642799999999</v>
      </c>
      <c r="H46" s="16">
        <v>1.43668605</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(2373/B47*100)</f>
        <v>84.05951115834219</v>
      </c>
      <c r="D47" s="15">
        <v>450</v>
      </c>
      <c r="E47" s="14">
        <v>73.650510030000007</v>
      </c>
      <c r="F47" s="16">
        <v>2.1150839299999999</v>
      </c>
      <c r="G47" s="14">
        <v>26.34948997</v>
      </c>
      <c r="H47" s="16">
        <v>2.1150839299999999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(3865/B48*100)</f>
        <v>82.550192225544635</v>
      </c>
      <c r="D48" s="15">
        <v>817</v>
      </c>
      <c r="E48" s="14">
        <v>52.970146819999997</v>
      </c>
      <c r="F48" s="16">
        <v>2.3704069200000002</v>
      </c>
      <c r="G48" s="14">
        <v>47.029853180000003</v>
      </c>
      <c r="H48" s="16">
        <v>2.3704069200000002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(5175/B50*100)</f>
        <v>84.037025008119514</v>
      </c>
      <c r="D50" s="15">
        <v>983</v>
      </c>
      <c r="E50" s="14">
        <v>64.693696770000003</v>
      </c>
      <c r="F50" s="16">
        <v>1.6865808</v>
      </c>
      <c r="G50" s="14">
        <v>35.306303229999997</v>
      </c>
      <c r="H50" s="16">
        <v>1.6865808</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75.854387990000006</v>
      </c>
      <c r="F51" s="16">
        <v>1.8699856100000001</v>
      </c>
      <c r="G51" s="14">
        <v>24.145612010000001</v>
      </c>
      <c r="H51" s="16">
        <v>1.8699856100000001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74.520360440000005</v>
      </c>
      <c r="F52" s="16">
        <v>2.03639876</v>
      </c>
      <c r="G52" s="14">
        <v>25.479639559999999</v>
      </c>
      <c r="H52" s="16">
        <v>2.03639876</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(2283/B53*100)</f>
        <v>82.717391304347828</v>
      </c>
      <c r="D53" s="15">
        <v>477</v>
      </c>
      <c r="E53" s="14">
        <v>73.947028040000006</v>
      </c>
      <c r="F53" s="16">
        <v>2.0205207000000001</v>
      </c>
      <c r="G53" s="14">
        <v>26.052971960000001</v>
      </c>
      <c r="H53" s="16">
        <v>2.0205207000000001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61.550600789999997</v>
      </c>
      <c r="F56" s="16">
        <v>2.3173762400000002</v>
      </c>
      <c r="G56" s="14">
        <v>38.449399210000003</v>
      </c>
      <c r="H56" s="16">
        <v>2.3173762400000002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(2652/B61*100)</f>
        <v>82.84910965323337</v>
      </c>
      <c r="D61" s="15">
        <v>549</v>
      </c>
      <c r="E61" s="14">
        <v>66.05585035</v>
      </c>
      <c r="F61" s="16">
        <v>1.9568936100000001</v>
      </c>
      <c r="G61" s="14">
        <v>33.94414965</v>
      </c>
      <c r="H61" s="16">
        <v>1.9568936100000001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67.543653750000004</v>
      </c>
      <c r="F62" s="16">
        <v>2.7153273699999998</v>
      </c>
      <c r="G62" s="14">
        <v>32.456346250000003</v>
      </c>
      <c r="H62" s="16">
        <v>2.7153273699999998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(2318/B66*100)</f>
        <v>83.652111151208956</v>
      </c>
      <c r="D66" s="15">
        <v>453</v>
      </c>
      <c r="E66" s="14">
        <v>74.914070989999999</v>
      </c>
      <c r="F66" s="16">
        <v>1.9091073599999999</v>
      </c>
      <c r="G66" s="14">
        <v>25.085929010000001</v>
      </c>
      <c r="H66" s="16">
        <v>1.9091073599999999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(2953/B67*100)</f>
        <v>85.346820809248555</v>
      </c>
      <c r="D67" s="15">
        <v>507</v>
      </c>
      <c r="E67" s="14">
        <v>72.253138890000002</v>
      </c>
      <c r="F67" s="16">
        <v>1.9889415100000001</v>
      </c>
      <c r="G67" s="14">
        <v>27.746861110000001</v>
      </c>
      <c r="H67" s="16">
        <v>1.9889415100000001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(2594/B70*100)</f>
        <v>83.488896041197293</v>
      </c>
      <c r="D70" s="15">
        <v>513</v>
      </c>
      <c r="E70" s="14">
        <v>77.821113850000003</v>
      </c>
      <c r="F70" s="16">
        <v>2.3075255499999998</v>
      </c>
      <c r="G70" s="14">
        <v>22.17888615</v>
      </c>
      <c r="H70" s="16">
        <v>2.3075255499999998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(3164/B72*100)</f>
        <v>82.848913328096359</v>
      </c>
      <c r="D72" s="15">
        <v>655</v>
      </c>
      <c r="E72" s="14">
        <v>60.068927160000001</v>
      </c>
      <c r="F72" s="16">
        <v>2.0858579700000002</v>
      </c>
      <c r="G72" s="14">
        <v>39.931072839999999</v>
      </c>
      <c r="H72" s="16">
        <v>2.0858579700000002</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69.413711300000003</v>
      </c>
      <c r="F73" s="16">
        <v>2.1948157699999999</v>
      </c>
      <c r="G73" s="14">
        <v>30.586288700000001</v>
      </c>
      <c r="H73" s="16">
        <v>2.1948157699999999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(2506/B75*100)</f>
        <v>84.405523745368811</v>
      </c>
      <c r="D75" s="15">
        <v>463</v>
      </c>
      <c r="E75" s="14">
        <v>69.481354120000006</v>
      </c>
      <c r="F75" s="16">
        <v>2.3217672399999998</v>
      </c>
      <c r="G75" s="14">
        <v>30.518645880000001</v>
      </c>
      <c r="H75" s="16">
        <v>2.3217672399999998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(5920/B76*100)</f>
        <v>83.204497540407587</v>
      </c>
      <c r="D76" s="15">
        <v>1195</v>
      </c>
      <c r="E76" s="14">
        <v>63.335228379999997</v>
      </c>
      <c r="F76" s="16">
        <v>1.7319680799999999</v>
      </c>
      <c r="G76" s="14">
        <v>36.664771620000003</v>
      </c>
      <c r="H76" s="16">
        <v>1.7319680799999999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(2636/B77*100)</f>
        <v>83.576410906785043</v>
      </c>
      <c r="D77" s="15">
        <v>518</v>
      </c>
      <c r="E77" s="14">
        <v>70.084680860000006</v>
      </c>
      <c r="F77" s="16">
        <v>1.8999954400000001</v>
      </c>
      <c r="G77" s="14">
        <v>29.915319140000001</v>
      </c>
      <c r="H77" s="16">
        <v>1.8999954400000001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(3888/B81*100)</f>
        <v>82.758620689655174</v>
      </c>
      <c r="D81" s="15">
        <v>810</v>
      </c>
      <c r="E81" s="14">
        <v>69.613960419999998</v>
      </c>
      <c r="F81" s="16">
        <v>1.7319541199999999</v>
      </c>
      <c r="G81" s="14">
        <v>30.386039579999998</v>
      </c>
      <c r="H81" s="16">
        <v>1.7319541199999999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261</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7163</v>
      </c>
      <c r="C7" s="14">
        <f>(5978/B7*100)</f>
        <v>83.456652240681279</v>
      </c>
      <c r="D7" s="15">
        <v>1185</v>
      </c>
      <c r="E7" s="14">
        <v>32.891508989999998</v>
      </c>
      <c r="F7" s="16">
        <v>1.5760130800000001</v>
      </c>
      <c r="G7" s="14">
        <v>40.784175410000003</v>
      </c>
      <c r="H7" s="16">
        <v>1.42368172</v>
      </c>
      <c r="I7" s="14">
        <v>0.48582070999999999</v>
      </c>
      <c r="J7" s="16">
        <v>0.21575274</v>
      </c>
      <c r="K7" s="14">
        <v>25.83849489</v>
      </c>
      <c r="L7" s="16">
        <v>1.44525868</v>
      </c>
      <c r="M7" s="14" t="s">
        <v>139</v>
      </c>
      <c r="N7" s="16" t="s">
        <v>139</v>
      </c>
      <c r="O7" s="14">
        <v>0</v>
      </c>
      <c r="P7" s="16">
        <v>0</v>
      </c>
      <c r="Q7" s="14">
        <v>0</v>
      </c>
      <c r="R7" s="16">
        <v>0</v>
      </c>
      <c r="S7" s="14">
        <v>0</v>
      </c>
      <c r="T7" s="16">
        <v>0</v>
      </c>
      <c r="U7" s="14">
        <v>0</v>
      </c>
      <c r="V7" s="16">
        <v>0</v>
      </c>
    </row>
    <row r="8" spans="1:22" x14ac:dyDescent="0.25">
      <c r="A8" s="11" t="s">
        <v>140</v>
      </c>
      <c r="B8" s="13">
        <v>3443</v>
      </c>
      <c r="C8" s="14">
        <f>(2864/B8*100)</f>
        <v>83.183270403717685</v>
      </c>
      <c r="D8" s="15">
        <v>579</v>
      </c>
      <c r="E8" s="14">
        <v>33.483574470000001</v>
      </c>
      <c r="F8" s="16">
        <v>2.3167157600000001</v>
      </c>
      <c r="G8" s="14">
        <v>45.44205728</v>
      </c>
      <c r="H8" s="16">
        <v>2.1419423100000001</v>
      </c>
      <c r="I8" s="14">
        <v>0.60602705999999995</v>
      </c>
      <c r="J8" s="16">
        <v>0.46815799000000002</v>
      </c>
      <c r="K8" s="14">
        <v>20.46834119</v>
      </c>
      <c r="L8" s="16">
        <v>1.82893474</v>
      </c>
      <c r="M8" s="14" t="s">
        <v>139</v>
      </c>
      <c r="N8" s="16" t="s">
        <v>139</v>
      </c>
      <c r="O8" s="14">
        <v>0</v>
      </c>
      <c r="P8" s="16">
        <v>0</v>
      </c>
      <c r="Q8" s="14">
        <v>0</v>
      </c>
      <c r="R8" s="16">
        <v>0</v>
      </c>
      <c r="S8" s="14">
        <v>0</v>
      </c>
      <c r="T8" s="16">
        <v>0</v>
      </c>
      <c r="U8" s="14">
        <v>0</v>
      </c>
      <c r="V8" s="16">
        <v>0</v>
      </c>
    </row>
    <row r="9" spans="1:22" x14ac:dyDescent="0.25">
      <c r="A9" s="11" t="s">
        <v>141</v>
      </c>
      <c r="B9" s="13">
        <v>4752</v>
      </c>
      <c r="C9" s="14">
        <f>(3937/B9*100)</f>
        <v>82.849326599326602</v>
      </c>
      <c r="D9" s="15">
        <v>815</v>
      </c>
      <c r="E9" s="14">
        <v>29.42615296</v>
      </c>
      <c r="F9" s="16">
        <v>1.7769184200000001</v>
      </c>
      <c r="G9" s="14">
        <v>40.269302840000002</v>
      </c>
      <c r="H9" s="16">
        <v>1.8299265899999999</v>
      </c>
      <c r="I9" s="14">
        <v>0.58865392000000005</v>
      </c>
      <c r="J9" s="16">
        <v>0.27766101999999998</v>
      </c>
      <c r="K9" s="14">
        <v>29.71589028</v>
      </c>
      <c r="L9" s="16">
        <v>1.4864476900000001</v>
      </c>
      <c r="M9" s="14" t="s">
        <v>139</v>
      </c>
      <c r="N9" s="16" t="s">
        <v>139</v>
      </c>
      <c r="O9" s="14">
        <v>0</v>
      </c>
      <c r="P9" s="16">
        <v>0</v>
      </c>
      <c r="Q9" s="14">
        <v>0</v>
      </c>
      <c r="R9" s="16">
        <v>0</v>
      </c>
      <c r="S9" s="14">
        <v>0</v>
      </c>
      <c r="T9" s="16">
        <v>0</v>
      </c>
      <c r="U9" s="14">
        <v>0</v>
      </c>
      <c r="V9" s="16">
        <v>0</v>
      </c>
    </row>
    <row r="10" spans="1:22" x14ac:dyDescent="0.25">
      <c r="A10" s="11" t="s">
        <v>142</v>
      </c>
      <c r="B10" s="13">
        <v>10022</v>
      </c>
      <c r="C10" s="14">
        <f>(8288/B10*100)</f>
        <v>82.698064258631007</v>
      </c>
      <c r="D10" s="15">
        <v>1734</v>
      </c>
      <c r="E10" s="14">
        <v>35.589155869999999</v>
      </c>
      <c r="F10" s="16">
        <v>1.51240508</v>
      </c>
      <c r="G10" s="14">
        <v>41.189829449999998</v>
      </c>
      <c r="H10" s="16">
        <v>1.67447638</v>
      </c>
      <c r="I10" s="14">
        <v>7.3258680000000007E-2</v>
      </c>
      <c r="J10" s="16">
        <v>3.5322180000000002E-2</v>
      </c>
      <c r="K10" s="14">
        <v>23.147756000000001</v>
      </c>
      <c r="L10" s="16">
        <v>1.29499286</v>
      </c>
      <c r="M10" s="14" t="s">
        <v>139</v>
      </c>
      <c r="N10" s="16" t="s">
        <v>139</v>
      </c>
      <c r="O10" s="14">
        <v>0</v>
      </c>
      <c r="P10" s="16">
        <v>0</v>
      </c>
      <c r="Q10" s="14">
        <v>0</v>
      </c>
      <c r="R10" s="16">
        <v>0</v>
      </c>
      <c r="S10" s="14">
        <v>0</v>
      </c>
      <c r="T10" s="16">
        <v>0</v>
      </c>
      <c r="U10" s="14">
        <v>0</v>
      </c>
      <c r="V10" s="16">
        <v>0</v>
      </c>
    </row>
    <row r="11" spans="1:22" x14ac:dyDescent="0.25">
      <c r="A11" s="11" t="s">
        <v>143</v>
      </c>
      <c r="B11" s="13">
        <v>3500</v>
      </c>
      <c r="C11" s="14">
        <f>(2914/B11*100)</f>
        <v>83.257142857142853</v>
      </c>
      <c r="D11" s="15">
        <v>586</v>
      </c>
      <c r="E11" s="14">
        <v>42.08551009</v>
      </c>
      <c r="F11" s="16">
        <v>2.2117149600000001</v>
      </c>
      <c r="G11" s="14">
        <v>41.546393459999997</v>
      </c>
      <c r="H11" s="16">
        <v>2.3668835399999999</v>
      </c>
      <c r="I11" s="14">
        <v>0.50010904</v>
      </c>
      <c r="J11" s="16">
        <v>0.30693077000000002</v>
      </c>
      <c r="K11" s="14">
        <v>15.86798741</v>
      </c>
      <c r="L11" s="16">
        <v>1.70644054</v>
      </c>
      <c r="M11" s="14" t="s">
        <v>139</v>
      </c>
      <c r="N11" s="16" t="s">
        <v>139</v>
      </c>
      <c r="O11" s="14">
        <v>0</v>
      </c>
      <c r="P11" s="16">
        <v>0</v>
      </c>
      <c r="Q11" s="14">
        <v>0</v>
      </c>
      <c r="R11" s="16">
        <v>0</v>
      </c>
      <c r="S11" s="14">
        <v>0</v>
      </c>
      <c r="T11" s="16">
        <v>0</v>
      </c>
      <c r="U11" s="14">
        <v>0</v>
      </c>
      <c r="V11" s="16">
        <v>0</v>
      </c>
    </row>
    <row r="12" spans="1:22" x14ac:dyDescent="0.25">
      <c r="A12" s="11" t="s">
        <v>144</v>
      </c>
      <c r="B12" s="13">
        <v>3422</v>
      </c>
      <c r="C12" s="14">
        <f>(2859/B12*100)</f>
        <v>83.547632963179424</v>
      </c>
      <c r="D12" s="15">
        <v>563</v>
      </c>
      <c r="E12" s="14">
        <v>27.671863510000001</v>
      </c>
      <c r="F12" s="16">
        <v>2.3218444699999998</v>
      </c>
      <c r="G12" s="14">
        <v>41.211119859999997</v>
      </c>
      <c r="H12" s="16">
        <v>2.2497918800000001</v>
      </c>
      <c r="I12" s="14">
        <v>0.14257776</v>
      </c>
      <c r="J12" s="16">
        <v>0.10855592</v>
      </c>
      <c r="K12" s="14">
        <v>30.97443887</v>
      </c>
      <c r="L12" s="16">
        <v>2.0258593199999999</v>
      </c>
      <c r="M12" s="14" t="s">
        <v>139</v>
      </c>
      <c r="N12" s="16" t="s">
        <v>139</v>
      </c>
      <c r="O12" s="14">
        <v>0</v>
      </c>
      <c r="P12" s="16">
        <v>0</v>
      </c>
      <c r="Q12" s="14">
        <v>0</v>
      </c>
      <c r="R12" s="16">
        <v>0</v>
      </c>
      <c r="S12" s="14">
        <v>0</v>
      </c>
      <c r="T12" s="16">
        <v>0</v>
      </c>
      <c r="U12" s="14">
        <v>0</v>
      </c>
      <c r="V12" s="16">
        <v>0</v>
      </c>
    </row>
    <row r="13" spans="1:22" x14ac:dyDescent="0.25">
      <c r="A13" s="11" t="s">
        <v>145</v>
      </c>
      <c r="B13" s="13">
        <v>3602</v>
      </c>
      <c r="C13" s="14">
        <f>(3018/B13*100)</f>
        <v>83.786785119378123</v>
      </c>
      <c r="D13" s="15">
        <v>584</v>
      </c>
      <c r="E13" s="14">
        <v>35.33724119</v>
      </c>
      <c r="F13" s="16">
        <v>2.0254765199999998</v>
      </c>
      <c r="G13" s="14">
        <v>43.714319889999999</v>
      </c>
      <c r="H13" s="16">
        <v>2.0233180700000002</v>
      </c>
      <c r="I13" s="14">
        <v>1.41779535</v>
      </c>
      <c r="J13" s="16">
        <v>0.67894319000000003</v>
      </c>
      <c r="K13" s="14">
        <v>19.530643569999999</v>
      </c>
      <c r="L13" s="16">
        <v>2.1140660599999999</v>
      </c>
      <c r="M13" s="14" t="s">
        <v>139</v>
      </c>
      <c r="N13" s="16" t="s">
        <v>139</v>
      </c>
      <c r="O13" s="14">
        <v>0</v>
      </c>
      <c r="P13" s="16">
        <v>0</v>
      </c>
      <c r="Q13" s="14">
        <v>0</v>
      </c>
      <c r="R13" s="16">
        <v>0</v>
      </c>
      <c r="S13" s="14">
        <v>0</v>
      </c>
      <c r="T13" s="16">
        <v>0</v>
      </c>
      <c r="U13" s="14">
        <v>0</v>
      </c>
      <c r="V13" s="16">
        <v>0</v>
      </c>
    </row>
    <row r="14" spans="1:22" x14ac:dyDescent="0.25">
      <c r="A14" s="11" t="s">
        <v>146</v>
      </c>
      <c r="B14" s="13">
        <v>2788</v>
      </c>
      <c r="C14" s="14">
        <f>(2317/B14*100)</f>
        <v>83.10616929698709</v>
      </c>
      <c r="D14" s="15">
        <v>471</v>
      </c>
      <c r="E14" s="14">
        <v>31.10421861</v>
      </c>
      <c r="F14" s="16">
        <v>2.3390525200000001</v>
      </c>
      <c r="G14" s="14">
        <v>38.540630739999997</v>
      </c>
      <c r="H14" s="16">
        <v>2.1911057600000001</v>
      </c>
      <c r="I14" s="14">
        <v>0.37876336999999999</v>
      </c>
      <c r="J14" s="16">
        <v>0.26914149999999998</v>
      </c>
      <c r="K14" s="14">
        <v>29.976387280000001</v>
      </c>
      <c r="L14" s="16">
        <v>2.0241785499999998</v>
      </c>
      <c r="M14" s="14" t="s">
        <v>139</v>
      </c>
      <c r="N14" s="16" t="s">
        <v>139</v>
      </c>
      <c r="O14" s="14">
        <v>0</v>
      </c>
      <c r="P14" s="16">
        <v>0</v>
      </c>
      <c r="Q14" s="14">
        <v>0</v>
      </c>
      <c r="R14" s="16">
        <v>0</v>
      </c>
      <c r="S14" s="14">
        <v>0</v>
      </c>
      <c r="T14" s="16">
        <v>0</v>
      </c>
      <c r="U14" s="14">
        <v>0</v>
      </c>
      <c r="V14" s="16">
        <v>0</v>
      </c>
    </row>
    <row r="15" spans="1:22" x14ac:dyDescent="0.25">
      <c r="A15" s="11" t="s">
        <v>147</v>
      </c>
      <c r="B15" s="13">
        <v>2863</v>
      </c>
      <c r="C15" s="14">
        <f>(2385/B15*100)</f>
        <v>83.304226336011183</v>
      </c>
      <c r="D15" s="15">
        <v>478</v>
      </c>
      <c r="E15" s="14">
        <v>29.255333310000001</v>
      </c>
      <c r="F15" s="16">
        <v>2.2965521500000001</v>
      </c>
      <c r="G15" s="14">
        <v>40.153090710000001</v>
      </c>
      <c r="H15" s="16">
        <v>2.2508561299999998</v>
      </c>
      <c r="I15" s="14">
        <v>0.85225275</v>
      </c>
      <c r="J15" s="16">
        <v>0.51669520999999996</v>
      </c>
      <c r="K15" s="14">
        <v>29.73932323</v>
      </c>
      <c r="L15" s="16">
        <v>2.0653321299999998</v>
      </c>
      <c r="M15" s="14" t="s">
        <v>139</v>
      </c>
      <c r="N15" s="16" t="s">
        <v>139</v>
      </c>
      <c r="O15" s="14">
        <v>0</v>
      </c>
      <c r="P15" s="16">
        <v>0</v>
      </c>
      <c r="Q15" s="14">
        <v>0</v>
      </c>
      <c r="R15" s="16">
        <v>0</v>
      </c>
      <c r="S15" s="14">
        <v>0</v>
      </c>
      <c r="T15" s="16">
        <v>0</v>
      </c>
      <c r="U15" s="14">
        <v>0</v>
      </c>
      <c r="V15" s="16">
        <v>0</v>
      </c>
    </row>
    <row r="16" spans="1:22" x14ac:dyDescent="0.25">
      <c r="A16" s="11" t="s">
        <v>148</v>
      </c>
      <c r="B16" s="13">
        <v>3111</v>
      </c>
      <c r="C16" s="14">
        <f>(2569/B16*100)</f>
        <v>82.577949212471879</v>
      </c>
      <c r="D16" s="15">
        <v>542</v>
      </c>
      <c r="E16" s="14">
        <v>38.761061699999999</v>
      </c>
      <c r="F16" s="16">
        <v>2.1790841900000002</v>
      </c>
      <c r="G16" s="14">
        <v>34.93157866</v>
      </c>
      <c r="H16" s="16">
        <v>2.0728137599999998</v>
      </c>
      <c r="I16" s="14">
        <v>0.80957920999999999</v>
      </c>
      <c r="J16" s="16">
        <v>0.43305217000000001</v>
      </c>
      <c r="K16" s="14">
        <v>25.497780420000002</v>
      </c>
      <c r="L16" s="16">
        <v>2.1101870900000002</v>
      </c>
      <c r="M16" s="14" t="s">
        <v>139</v>
      </c>
      <c r="N16" s="16" t="s">
        <v>139</v>
      </c>
      <c r="O16" s="14">
        <v>0</v>
      </c>
      <c r="P16" s="16">
        <v>0</v>
      </c>
      <c r="Q16" s="14">
        <v>0</v>
      </c>
      <c r="R16" s="16">
        <v>0</v>
      </c>
      <c r="S16" s="14">
        <v>0</v>
      </c>
      <c r="T16" s="16">
        <v>0</v>
      </c>
      <c r="U16" s="14">
        <v>0</v>
      </c>
      <c r="V16" s="16">
        <v>0</v>
      </c>
    </row>
    <row r="17" spans="1:22" x14ac:dyDescent="0.25">
      <c r="A17" s="11" t="s">
        <v>149</v>
      </c>
      <c r="B17" s="13">
        <v>3197</v>
      </c>
      <c r="C17" s="14">
        <f>(2647/B17*100)</f>
        <v>82.796371598373469</v>
      </c>
      <c r="D17" s="15">
        <v>550</v>
      </c>
      <c r="E17" s="14">
        <v>26.914909130000002</v>
      </c>
      <c r="F17" s="16">
        <v>2.13723464</v>
      </c>
      <c r="G17" s="14">
        <v>42.41646549</v>
      </c>
      <c r="H17" s="16">
        <v>2.1896131200000002</v>
      </c>
      <c r="I17" s="14">
        <v>1.69358224</v>
      </c>
      <c r="J17" s="16">
        <v>0.56378682999999996</v>
      </c>
      <c r="K17" s="14">
        <v>28.975043150000001</v>
      </c>
      <c r="L17" s="16">
        <v>1.8080052200000001</v>
      </c>
      <c r="M17" s="14" t="s">
        <v>139</v>
      </c>
      <c r="N17" s="16" t="s">
        <v>139</v>
      </c>
      <c r="O17" s="14">
        <v>0</v>
      </c>
      <c r="P17" s="16">
        <v>0</v>
      </c>
      <c r="Q17" s="14">
        <v>0</v>
      </c>
      <c r="R17" s="16">
        <v>0</v>
      </c>
      <c r="S17" s="14">
        <v>0</v>
      </c>
      <c r="T17" s="16">
        <v>0</v>
      </c>
      <c r="U17" s="14">
        <v>0</v>
      </c>
      <c r="V17" s="16">
        <v>0</v>
      </c>
    </row>
    <row r="18" spans="1:22" x14ac:dyDescent="0.25">
      <c r="A18" s="11" t="s">
        <v>150</v>
      </c>
      <c r="B18" s="13">
        <v>2706</v>
      </c>
      <c r="C18" s="14">
        <f>(2236/B18*100)</f>
        <v>82.631189948263113</v>
      </c>
      <c r="D18" s="15">
        <v>470</v>
      </c>
      <c r="E18" s="14">
        <v>36.559002980000002</v>
      </c>
      <c r="F18" s="16">
        <v>2.2740885199999998</v>
      </c>
      <c r="G18" s="14">
        <v>37.054363180000003</v>
      </c>
      <c r="H18" s="16">
        <v>2.13754029</v>
      </c>
      <c r="I18" s="14">
        <v>0.77847752999999997</v>
      </c>
      <c r="J18" s="16">
        <v>0.44768187999999998</v>
      </c>
      <c r="K18" s="14">
        <v>25.608156309999998</v>
      </c>
      <c r="L18" s="16">
        <v>2.30212883</v>
      </c>
      <c r="M18" s="14" t="s">
        <v>139</v>
      </c>
      <c r="N18" s="16" t="s">
        <v>139</v>
      </c>
      <c r="O18" s="14">
        <v>0</v>
      </c>
      <c r="P18" s="16">
        <v>0</v>
      </c>
      <c r="Q18" s="14">
        <v>0</v>
      </c>
      <c r="R18" s="16">
        <v>0</v>
      </c>
      <c r="S18" s="14">
        <v>0</v>
      </c>
      <c r="T18" s="16">
        <v>0</v>
      </c>
      <c r="U18" s="14">
        <v>0</v>
      </c>
      <c r="V18" s="16">
        <v>0</v>
      </c>
    </row>
    <row r="19" spans="1:22" x14ac:dyDescent="0.25">
      <c r="A19" s="11" t="s">
        <v>151</v>
      </c>
      <c r="B19" s="13">
        <v>2850</v>
      </c>
      <c r="C19" s="14">
        <f>(2383/B19*100)</f>
        <v>83.614035087719301</v>
      </c>
      <c r="D19" s="15">
        <v>467</v>
      </c>
      <c r="E19" s="14">
        <v>36.725319579999997</v>
      </c>
      <c r="F19" s="16">
        <v>2.8036362700000002</v>
      </c>
      <c r="G19" s="14">
        <v>38.083808009999998</v>
      </c>
      <c r="H19" s="16">
        <v>2.35768113</v>
      </c>
      <c r="I19" s="14">
        <v>0.61938059000000001</v>
      </c>
      <c r="J19" s="16">
        <v>0.36136436999999999</v>
      </c>
      <c r="K19" s="14">
        <v>24.571491829999999</v>
      </c>
      <c r="L19" s="16">
        <v>1.60530953</v>
      </c>
      <c r="M19" s="14" t="s">
        <v>139</v>
      </c>
      <c r="N19" s="16" t="s">
        <v>139</v>
      </c>
      <c r="O19" s="14">
        <v>0</v>
      </c>
      <c r="P19" s="16">
        <v>0</v>
      </c>
      <c r="Q19" s="14">
        <v>0</v>
      </c>
      <c r="R19" s="16">
        <v>0</v>
      </c>
      <c r="S19" s="14">
        <v>0</v>
      </c>
      <c r="T19" s="16">
        <v>0</v>
      </c>
      <c r="U19" s="14">
        <v>0</v>
      </c>
      <c r="V19" s="16">
        <v>0</v>
      </c>
    </row>
    <row r="20" spans="1:22" x14ac:dyDescent="0.25">
      <c r="A20" s="11" t="s">
        <v>152</v>
      </c>
      <c r="B20" s="13">
        <v>1741</v>
      </c>
      <c r="C20" s="14">
        <f>(1449/B20*100)</f>
        <v>83.228029867892019</v>
      </c>
      <c r="D20" s="15">
        <v>292</v>
      </c>
      <c r="E20" s="14">
        <v>35.599086630000002</v>
      </c>
      <c r="F20" s="16">
        <v>2.7770577200000002</v>
      </c>
      <c r="G20" s="14">
        <v>43.150037810000001</v>
      </c>
      <c r="H20" s="16">
        <v>2.8966970399999998</v>
      </c>
      <c r="I20" s="14">
        <v>0</v>
      </c>
      <c r="J20" s="16">
        <v>0</v>
      </c>
      <c r="K20" s="14">
        <v>21.250875560000001</v>
      </c>
      <c r="L20" s="16">
        <v>2.4213141500000002</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3667</v>
      </c>
      <c r="C22" s="14">
        <f>(3122/B22*100)</f>
        <v>85.13771475320425</v>
      </c>
      <c r="D22" s="15">
        <v>545</v>
      </c>
      <c r="E22" s="14">
        <v>46.04649217</v>
      </c>
      <c r="F22" s="16">
        <v>2.3148679599999999</v>
      </c>
      <c r="G22" s="14">
        <v>36.293964240000001</v>
      </c>
      <c r="H22" s="16">
        <v>1.8379139499999999</v>
      </c>
      <c r="I22" s="14">
        <v>0.71436330999999997</v>
      </c>
      <c r="J22" s="16">
        <v>0.36827566</v>
      </c>
      <c r="K22" s="14">
        <v>16.945180279999999</v>
      </c>
      <c r="L22" s="16">
        <v>1.6031847699999999</v>
      </c>
      <c r="M22" s="14" t="s">
        <v>139</v>
      </c>
      <c r="N22" s="16" t="s">
        <v>139</v>
      </c>
      <c r="O22" s="14">
        <v>0</v>
      </c>
      <c r="P22" s="16">
        <v>0</v>
      </c>
      <c r="Q22" s="14">
        <v>0</v>
      </c>
      <c r="R22" s="16">
        <v>0</v>
      </c>
      <c r="S22" s="14">
        <v>0</v>
      </c>
      <c r="T22" s="16">
        <v>0</v>
      </c>
      <c r="U22" s="14">
        <v>0</v>
      </c>
      <c r="V22" s="16">
        <v>0</v>
      </c>
    </row>
    <row r="23" spans="1:22" x14ac:dyDescent="0.25">
      <c r="A23" s="11" t="s">
        <v>156</v>
      </c>
      <c r="B23" s="13">
        <v>5792</v>
      </c>
      <c r="C23" s="14">
        <f>(4806/B23*100)</f>
        <v>82.976519337016569</v>
      </c>
      <c r="D23" s="15">
        <v>986</v>
      </c>
      <c r="E23" s="14">
        <v>37.688098629999999</v>
      </c>
      <c r="F23" s="16">
        <v>1.97140369</v>
      </c>
      <c r="G23" s="14">
        <v>33.98710543</v>
      </c>
      <c r="H23" s="16">
        <v>2.3383913600000001</v>
      </c>
      <c r="I23" s="14">
        <v>1.0626651</v>
      </c>
      <c r="J23" s="16">
        <v>0.78201032000000004</v>
      </c>
      <c r="K23" s="14">
        <v>27.26213083</v>
      </c>
      <c r="L23" s="16">
        <v>1.7106220400000001</v>
      </c>
      <c r="M23" s="14" t="s">
        <v>139</v>
      </c>
      <c r="N23" s="16" t="s">
        <v>139</v>
      </c>
      <c r="O23" s="14">
        <v>0</v>
      </c>
      <c r="P23" s="16">
        <v>0</v>
      </c>
      <c r="Q23" s="14">
        <v>0</v>
      </c>
      <c r="R23" s="16">
        <v>0</v>
      </c>
      <c r="S23" s="14">
        <v>0</v>
      </c>
      <c r="T23" s="16">
        <v>0</v>
      </c>
      <c r="U23" s="14">
        <v>0</v>
      </c>
      <c r="V23" s="16">
        <v>0</v>
      </c>
    </row>
    <row r="24" spans="1:22" x14ac:dyDescent="0.25">
      <c r="A24" s="11" t="s">
        <v>157</v>
      </c>
      <c r="B24" s="13">
        <v>3309</v>
      </c>
      <c r="C24" s="14">
        <f>(2744/B24*100)</f>
        <v>82.925355092172865</v>
      </c>
      <c r="D24" s="15">
        <v>565</v>
      </c>
      <c r="E24" s="14">
        <v>24.55624546</v>
      </c>
      <c r="F24" s="16">
        <v>2.05249609</v>
      </c>
      <c r="G24" s="14">
        <v>41.175792540000003</v>
      </c>
      <c r="H24" s="16">
        <v>2.0413937799999999</v>
      </c>
      <c r="I24" s="14">
        <v>0.17352306000000001</v>
      </c>
      <c r="J24" s="16">
        <v>0.17371458000000001</v>
      </c>
      <c r="K24" s="14">
        <v>34.094438940000003</v>
      </c>
      <c r="L24" s="16">
        <v>1.89055288</v>
      </c>
      <c r="M24" s="14" t="s">
        <v>139</v>
      </c>
      <c r="N24" s="16" t="s">
        <v>139</v>
      </c>
      <c r="O24" s="14">
        <v>0</v>
      </c>
      <c r="P24" s="16">
        <v>0</v>
      </c>
      <c r="Q24" s="14">
        <v>0</v>
      </c>
      <c r="R24" s="16">
        <v>0</v>
      </c>
      <c r="S24" s="14">
        <v>0</v>
      </c>
      <c r="T24" s="16">
        <v>0</v>
      </c>
      <c r="U24" s="14">
        <v>0</v>
      </c>
      <c r="V24" s="16">
        <v>0</v>
      </c>
    </row>
    <row r="25" spans="1:22" x14ac:dyDescent="0.25">
      <c r="A25" s="11" t="s">
        <v>158</v>
      </c>
      <c r="B25" s="13">
        <v>2669</v>
      </c>
      <c r="C25" s="14">
        <f>(2210/B25*100)</f>
        <v>82.802547770700642</v>
      </c>
      <c r="D25" s="15">
        <v>459</v>
      </c>
      <c r="E25" s="14">
        <v>16.343231190000001</v>
      </c>
      <c r="F25" s="16">
        <v>1.5630012</v>
      </c>
      <c r="G25" s="14">
        <v>44.54838049</v>
      </c>
      <c r="H25" s="16">
        <v>2.2400392</v>
      </c>
      <c r="I25" s="14">
        <v>0.22950677999999999</v>
      </c>
      <c r="J25" s="16">
        <v>0.22966492999999999</v>
      </c>
      <c r="K25" s="14">
        <v>38.878881550000003</v>
      </c>
      <c r="L25" s="16">
        <v>2.4534708699999999</v>
      </c>
      <c r="M25" s="14" t="s">
        <v>139</v>
      </c>
      <c r="N25" s="16" t="s">
        <v>139</v>
      </c>
      <c r="O25" s="14">
        <v>0</v>
      </c>
      <c r="P25" s="16">
        <v>0</v>
      </c>
      <c r="Q25" s="14">
        <v>0</v>
      </c>
      <c r="R25" s="16">
        <v>0</v>
      </c>
      <c r="S25" s="14">
        <v>0</v>
      </c>
      <c r="T25" s="16">
        <v>0</v>
      </c>
      <c r="U25" s="14">
        <v>0</v>
      </c>
      <c r="V25" s="16">
        <v>0</v>
      </c>
    </row>
    <row r="26" spans="1:22" x14ac:dyDescent="0.25">
      <c r="A26" s="11" t="s">
        <v>159</v>
      </c>
      <c r="B26" s="13">
        <v>2419</v>
      </c>
      <c r="C26" s="14">
        <f>(2002/B26*100)</f>
        <v>82.761471682513431</v>
      </c>
      <c r="D26" s="15">
        <v>417</v>
      </c>
      <c r="E26" s="14">
        <v>31.621286250000001</v>
      </c>
      <c r="F26" s="16">
        <v>2.5339358600000002</v>
      </c>
      <c r="G26" s="14">
        <v>46.352980629999998</v>
      </c>
      <c r="H26" s="16">
        <v>2.4040804200000001</v>
      </c>
      <c r="I26" s="14">
        <v>0.21609632000000001</v>
      </c>
      <c r="J26" s="16">
        <v>0.21607435999999999</v>
      </c>
      <c r="K26" s="14">
        <v>21.8096368</v>
      </c>
      <c r="L26" s="16">
        <v>1.6798548200000001</v>
      </c>
      <c r="M26" s="14" t="s">
        <v>139</v>
      </c>
      <c r="N26" s="16" t="s">
        <v>139</v>
      </c>
      <c r="O26" s="14">
        <v>0</v>
      </c>
      <c r="P26" s="16">
        <v>0</v>
      </c>
      <c r="Q26" s="14">
        <v>0</v>
      </c>
      <c r="R26" s="16">
        <v>0</v>
      </c>
      <c r="S26" s="14">
        <v>0</v>
      </c>
      <c r="T26" s="16">
        <v>0</v>
      </c>
      <c r="U26" s="14">
        <v>0</v>
      </c>
      <c r="V26" s="16">
        <v>0</v>
      </c>
    </row>
    <row r="27" spans="1:22" x14ac:dyDescent="0.25">
      <c r="A27" s="11" t="s">
        <v>160</v>
      </c>
      <c r="B27" s="13">
        <v>2683</v>
      </c>
      <c r="C27" s="14">
        <f>(2238/B27*100)</f>
        <v>83.414088706671635</v>
      </c>
      <c r="D27" s="15">
        <v>445</v>
      </c>
      <c r="E27" s="14">
        <v>36.067298350000002</v>
      </c>
      <c r="F27" s="16">
        <v>2.1547534700000002</v>
      </c>
      <c r="G27" s="14">
        <v>42.629680499999999</v>
      </c>
      <c r="H27" s="16">
        <v>2.0999761600000002</v>
      </c>
      <c r="I27" s="14">
        <v>0.44528514000000002</v>
      </c>
      <c r="J27" s="16">
        <v>0.31136050999999998</v>
      </c>
      <c r="K27" s="14">
        <v>20.85773601</v>
      </c>
      <c r="L27" s="16">
        <v>1.99419787</v>
      </c>
      <c r="M27" s="14" t="s">
        <v>139</v>
      </c>
      <c r="N27" s="16" t="s">
        <v>139</v>
      </c>
      <c r="O27" s="14">
        <v>0</v>
      </c>
      <c r="P27" s="16">
        <v>0</v>
      </c>
      <c r="Q27" s="14">
        <v>0</v>
      </c>
      <c r="R27" s="16">
        <v>0</v>
      </c>
      <c r="S27" s="14">
        <v>0</v>
      </c>
      <c r="T27" s="16">
        <v>0</v>
      </c>
      <c r="U27" s="14">
        <v>0</v>
      </c>
      <c r="V27" s="16">
        <v>0</v>
      </c>
    </row>
    <row r="28" spans="1:22" x14ac:dyDescent="0.25">
      <c r="A28" s="11" t="s">
        <v>161</v>
      </c>
      <c r="B28" s="13">
        <v>3803</v>
      </c>
      <c r="C28" s="14">
        <f>(3247/B28*100)</f>
        <v>85.379963186957667</v>
      </c>
      <c r="D28" s="15">
        <v>556</v>
      </c>
      <c r="E28" s="14">
        <v>51.945784410000002</v>
      </c>
      <c r="F28" s="16">
        <v>2.3505597699999998</v>
      </c>
      <c r="G28" s="14">
        <v>36.17604601</v>
      </c>
      <c r="H28" s="16">
        <v>2.1859164500000001</v>
      </c>
      <c r="I28" s="14">
        <v>0.18756613</v>
      </c>
      <c r="J28" s="16">
        <v>0.18720038999999999</v>
      </c>
      <c r="K28" s="14">
        <v>11.690603449999999</v>
      </c>
      <c r="L28" s="16">
        <v>1.3390186799999999</v>
      </c>
      <c r="M28" s="14" t="s">
        <v>139</v>
      </c>
      <c r="N28" s="16" t="s">
        <v>139</v>
      </c>
      <c r="O28" s="14">
        <v>0</v>
      </c>
      <c r="P28" s="16">
        <v>0</v>
      </c>
      <c r="Q28" s="14">
        <v>0</v>
      </c>
      <c r="R28" s="16">
        <v>0</v>
      </c>
      <c r="S28" s="14">
        <v>0</v>
      </c>
      <c r="T28" s="16">
        <v>0</v>
      </c>
      <c r="U28" s="14">
        <v>0</v>
      </c>
      <c r="V28" s="16">
        <v>0</v>
      </c>
    </row>
    <row r="29" spans="1:22" x14ac:dyDescent="0.25">
      <c r="A29" s="11" t="s">
        <v>162</v>
      </c>
      <c r="B29" s="13">
        <v>2700</v>
      </c>
      <c r="C29" s="14">
        <f>(2246/B29*100)</f>
        <v>83.18518518518519</v>
      </c>
      <c r="D29" s="15">
        <v>454</v>
      </c>
      <c r="E29" s="14">
        <v>26.086922510000001</v>
      </c>
      <c r="F29" s="16">
        <v>1.9698974899999999</v>
      </c>
      <c r="G29" s="14">
        <v>37.864339149999999</v>
      </c>
      <c r="H29" s="16">
        <v>1.93525328</v>
      </c>
      <c r="I29" s="14">
        <v>0</v>
      </c>
      <c r="J29" s="16">
        <v>0</v>
      </c>
      <c r="K29" s="14">
        <v>36.048738350000001</v>
      </c>
      <c r="L29" s="16">
        <v>2.3389915299999999</v>
      </c>
      <c r="M29" s="14" t="s">
        <v>139</v>
      </c>
      <c r="N29" s="16" t="s">
        <v>139</v>
      </c>
      <c r="O29" s="14">
        <v>0</v>
      </c>
      <c r="P29" s="16">
        <v>0</v>
      </c>
      <c r="Q29" s="14">
        <v>0</v>
      </c>
      <c r="R29" s="16">
        <v>0</v>
      </c>
      <c r="S29" s="14">
        <v>0</v>
      </c>
      <c r="T29" s="16">
        <v>0</v>
      </c>
      <c r="U29" s="14">
        <v>0</v>
      </c>
      <c r="V29" s="16">
        <v>0</v>
      </c>
    </row>
    <row r="30" spans="1:22" x14ac:dyDescent="0.25">
      <c r="A30" s="11" t="s">
        <v>163</v>
      </c>
      <c r="B30" s="13">
        <v>2257</v>
      </c>
      <c r="C30" s="14">
        <f>(1886/B30*100)</f>
        <v>83.562250775365527</v>
      </c>
      <c r="D30" s="15">
        <v>371</v>
      </c>
      <c r="E30" s="14">
        <v>30.306076109999999</v>
      </c>
      <c r="F30" s="16">
        <v>2.3759898800000001</v>
      </c>
      <c r="G30" s="14">
        <v>41.869209079999997</v>
      </c>
      <c r="H30" s="16">
        <v>3.1857977000000002</v>
      </c>
      <c r="I30" s="14">
        <v>0.24062017999999999</v>
      </c>
      <c r="J30" s="16">
        <v>0.20758935000000001</v>
      </c>
      <c r="K30" s="14">
        <v>27.584094629999999</v>
      </c>
      <c r="L30" s="16">
        <v>2.6739501099999998</v>
      </c>
      <c r="M30" s="14" t="s">
        <v>139</v>
      </c>
      <c r="N30" s="16" t="s">
        <v>139</v>
      </c>
      <c r="O30" s="14">
        <v>0</v>
      </c>
      <c r="P30" s="16">
        <v>0</v>
      </c>
      <c r="Q30" s="14">
        <v>0</v>
      </c>
      <c r="R30" s="16">
        <v>0</v>
      </c>
      <c r="S30" s="14">
        <v>0</v>
      </c>
      <c r="T30" s="16">
        <v>0</v>
      </c>
      <c r="U30" s="14">
        <v>0</v>
      </c>
      <c r="V30" s="16">
        <v>0</v>
      </c>
    </row>
    <row r="31" spans="1:22" x14ac:dyDescent="0.25">
      <c r="A31" s="11" t="s">
        <v>164</v>
      </c>
      <c r="B31" s="13">
        <v>2706</v>
      </c>
      <c r="C31" s="14">
        <f>(2251/B31*100)</f>
        <v>83.185513673318553</v>
      </c>
      <c r="D31" s="15">
        <v>455</v>
      </c>
      <c r="E31" s="14">
        <v>36.23601506</v>
      </c>
      <c r="F31" s="16">
        <v>2.1343185600000001</v>
      </c>
      <c r="G31" s="14">
        <v>39.735463340000003</v>
      </c>
      <c r="H31" s="16">
        <v>2.4750622600000001</v>
      </c>
      <c r="I31" s="14">
        <v>0.21339505</v>
      </c>
      <c r="J31" s="16">
        <v>0.20532597</v>
      </c>
      <c r="K31" s="14">
        <v>23.815126549999999</v>
      </c>
      <c r="L31" s="16">
        <v>2.3663362499999998</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3651</v>
      </c>
      <c r="C33" s="14">
        <f>(3055/B33*100)</f>
        <v>83.67570528622295</v>
      </c>
      <c r="D33" s="15">
        <v>596</v>
      </c>
      <c r="E33" s="14">
        <v>34.98021765</v>
      </c>
      <c r="F33" s="16">
        <v>2.2341840099999999</v>
      </c>
      <c r="G33" s="14">
        <v>37.402042119999997</v>
      </c>
      <c r="H33" s="16">
        <v>2.3378669599999999</v>
      </c>
      <c r="I33" s="14">
        <v>0.60631420999999996</v>
      </c>
      <c r="J33" s="16">
        <v>0.34433566999999998</v>
      </c>
      <c r="K33" s="14">
        <v>27.011426019999998</v>
      </c>
      <c r="L33" s="16">
        <v>2.14232851</v>
      </c>
      <c r="M33" s="14" t="s">
        <v>139</v>
      </c>
      <c r="N33" s="16" t="s">
        <v>139</v>
      </c>
      <c r="O33" s="14">
        <v>0</v>
      </c>
      <c r="P33" s="16">
        <v>0</v>
      </c>
      <c r="Q33" s="14">
        <v>0</v>
      </c>
      <c r="R33" s="16">
        <v>0</v>
      </c>
      <c r="S33" s="14">
        <v>0</v>
      </c>
      <c r="T33" s="16">
        <v>0</v>
      </c>
      <c r="U33" s="14">
        <v>0</v>
      </c>
      <c r="V33" s="16">
        <v>0</v>
      </c>
    </row>
    <row r="34" spans="1:22" x14ac:dyDescent="0.25">
      <c r="A34" s="11" t="s">
        <v>167</v>
      </c>
      <c r="B34" s="13">
        <v>3035</v>
      </c>
      <c r="C34" s="14">
        <f>(2554/B34*100)</f>
        <v>84.151565074135092</v>
      </c>
      <c r="D34" s="15">
        <v>481</v>
      </c>
      <c r="E34" s="14">
        <v>31.958677489999999</v>
      </c>
      <c r="F34" s="16">
        <v>2.3680743199999998</v>
      </c>
      <c r="G34" s="14">
        <v>40.544342159999999</v>
      </c>
      <c r="H34" s="16">
        <v>2.3775693100000002</v>
      </c>
      <c r="I34" s="14">
        <v>0.20444287</v>
      </c>
      <c r="J34" s="16">
        <v>0.18749535000000001</v>
      </c>
      <c r="K34" s="14">
        <v>27.29253748</v>
      </c>
      <c r="L34" s="16">
        <v>2.3773222500000002</v>
      </c>
      <c r="M34" s="14" t="s">
        <v>139</v>
      </c>
      <c r="N34" s="16" t="s">
        <v>139</v>
      </c>
      <c r="O34" s="14">
        <v>0</v>
      </c>
      <c r="P34" s="16">
        <v>0</v>
      </c>
      <c r="Q34" s="14">
        <v>0</v>
      </c>
      <c r="R34" s="16">
        <v>0</v>
      </c>
      <c r="S34" s="14">
        <v>0</v>
      </c>
      <c r="T34" s="16">
        <v>0</v>
      </c>
      <c r="U34" s="14">
        <v>0</v>
      </c>
      <c r="V34" s="16">
        <v>0</v>
      </c>
    </row>
    <row r="35" spans="1:22" x14ac:dyDescent="0.25">
      <c r="A35" s="11" t="s">
        <v>168</v>
      </c>
      <c r="B35" s="13">
        <v>2901</v>
      </c>
      <c r="C35" s="14">
        <f>(2399/B35*100)</f>
        <v>82.69562219924164</v>
      </c>
      <c r="D35" s="15">
        <v>502</v>
      </c>
      <c r="E35" s="14">
        <v>29.973129239999999</v>
      </c>
      <c r="F35" s="16">
        <v>2.3539979099999999</v>
      </c>
      <c r="G35" s="14">
        <v>43.262281799999997</v>
      </c>
      <c r="H35" s="16">
        <v>2.71770661</v>
      </c>
      <c r="I35" s="14">
        <v>0.99365886999999997</v>
      </c>
      <c r="J35" s="16">
        <v>0.56542320000000001</v>
      </c>
      <c r="K35" s="14">
        <v>25.77093009</v>
      </c>
      <c r="L35" s="16">
        <v>2.5092233099999999</v>
      </c>
      <c r="M35" s="14" t="s">
        <v>139</v>
      </c>
      <c r="N35" s="16" t="s">
        <v>139</v>
      </c>
      <c r="O35" s="14">
        <v>0</v>
      </c>
      <c r="P35" s="16">
        <v>0</v>
      </c>
      <c r="Q35" s="14">
        <v>0</v>
      </c>
      <c r="R35" s="16">
        <v>0</v>
      </c>
      <c r="S35" s="14">
        <v>0</v>
      </c>
      <c r="T35" s="16">
        <v>0</v>
      </c>
      <c r="U35" s="14">
        <v>0</v>
      </c>
      <c r="V35" s="16">
        <v>0</v>
      </c>
    </row>
    <row r="36" spans="1:22" x14ac:dyDescent="0.25">
      <c r="A36" s="11" t="s">
        <v>169</v>
      </c>
      <c r="B36" s="13">
        <v>3404</v>
      </c>
      <c r="C36" s="14">
        <f>(2835/B36*100)</f>
        <v>83.284371327849598</v>
      </c>
      <c r="D36" s="15">
        <v>569</v>
      </c>
      <c r="E36" s="14">
        <v>25.532600599999999</v>
      </c>
      <c r="F36" s="16">
        <v>2.0071427399999999</v>
      </c>
      <c r="G36" s="14">
        <v>42.373387540000003</v>
      </c>
      <c r="H36" s="16">
        <v>2.4722923300000001</v>
      </c>
      <c r="I36" s="14">
        <v>0.56667102000000003</v>
      </c>
      <c r="J36" s="16">
        <v>0.26108701000000001</v>
      </c>
      <c r="K36" s="14">
        <v>31.527340840000001</v>
      </c>
      <c r="L36" s="16">
        <v>1.99842692</v>
      </c>
      <c r="M36" s="14" t="s">
        <v>139</v>
      </c>
      <c r="N36" s="16" t="s">
        <v>139</v>
      </c>
      <c r="O36" s="14">
        <v>0</v>
      </c>
      <c r="P36" s="16">
        <v>0</v>
      </c>
      <c r="Q36" s="14">
        <v>0</v>
      </c>
      <c r="R36" s="16">
        <v>0</v>
      </c>
      <c r="S36" s="14">
        <v>0</v>
      </c>
      <c r="T36" s="16">
        <v>0</v>
      </c>
      <c r="U36" s="14">
        <v>0</v>
      </c>
      <c r="V36" s="16">
        <v>0</v>
      </c>
    </row>
    <row r="37" spans="1:22" x14ac:dyDescent="0.25">
      <c r="A37" s="11" t="s">
        <v>170</v>
      </c>
      <c r="B37" s="13">
        <v>2731</v>
      </c>
      <c r="C37" s="14">
        <f>(2301/B37*100)</f>
        <v>84.254851702673022</v>
      </c>
      <c r="D37" s="15">
        <v>430</v>
      </c>
      <c r="E37" s="14">
        <v>39.764275269999999</v>
      </c>
      <c r="F37" s="16">
        <v>2.7869266399999999</v>
      </c>
      <c r="G37" s="14">
        <v>37.857628900000002</v>
      </c>
      <c r="H37" s="16">
        <v>2.6261064099999998</v>
      </c>
      <c r="I37" s="14">
        <v>0.63894965000000004</v>
      </c>
      <c r="J37" s="16">
        <v>0.36783475999999998</v>
      </c>
      <c r="K37" s="14">
        <v>21.739146179999999</v>
      </c>
      <c r="L37" s="16">
        <v>2.1162633400000002</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2938</v>
      </c>
      <c r="C39" s="14">
        <f>(2412/B39*100)</f>
        <v>82.096664397549361</v>
      </c>
      <c r="D39" s="15">
        <v>526</v>
      </c>
      <c r="E39" s="14">
        <v>56.166402810000001</v>
      </c>
      <c r="F39" s="16">
        <v>2.32114536</v>
      </c>
      <c r="G39" s="14">
        <v>37.41707186</v>
      </c>
      <c r="H39" s="16">
        <v>2.1407207499999998</v>
      </c>
      <c r="I39" s="14">
        <v>0.70765195999999997</v>
      </c>
      <c r="J39" s="16">
        <v>0.4611575</v>
      </c>
      <c r="K39" s="14">
        <v>5.7088733700000001</v>
      </c>
      <c r="L39" s="16">
        <v>1.1804554599999999</v>
      </c>
      <c r="M39" s="14" t="s">
        <v>139</v>
      </c>
      <c r="N39" s="16" t="s">
        <v>139</v>
      </c>
      <c r="O39" s="14">
        <v>0</v>
      </c>
      <c r="P39" s="16">
        <v>0</v>
      </c>
      <c r="Q39" s="14">
        <v>0</v>
      </c>
      <c r="R39" s="16">
        <v>0</v>
      </c>
      <c r="S39" s="14">
        <v>0</v>
      </c>
      <c r="T39" s="16">
        <v>0</v>
      </c>
      <c r="U39" s="14">
        <v>0</v>
      </c>
      <c r="V39" s="16">
        <v>0</v>
      </c>
    </row>
    <row r="40" spans="1:22" x14ac:dyDescent="0.25">
      <c r="A40" s="11" t="s">
        <v>173</v>
      </c>
      <c r="B40" s="13">
        <v>6922</v>
      </c>
      <c r="C40" s="14">
        <f>(5683/B40*100)</f>
        <v>82.100548974284891</v>
      </c>
      <c r="D40" s="15">
        <v>1239</v>
      </c>
      <c r="E40" s="14">
        <v>32.549721470000001</v>
      </c>
      <c r="F40" s="16">
        <v>2.2654240699999999</v>
      </c>
      <c r="G40" s="14">
        <v>40.408217829999998</v>
      </c>
      <c r="H40" s="16">
        <v>2.3631656799999998</v>
      </c>
      <c r="I40" s="14">
        <v>9.1687009999999999E-2</v>
      </c>
      <c r="J40" s="16">
        <v>6.8460640000000003E-2</v>
      </c>
      <c r="K40" s="14">
        <v>26.950373679999998</v>
      </c>
      <c r="L40" s="16">
        <v>1.9492438000000001</v>
      </c>
      <c r="M40" s="14" t="s">
        <v>139</v>
      </c>
      <c r="N40" s="16" t="s">
        <v>139</v>
      </c>
      <c r="O40" s="14">
        <v>0</v>
      </c>
      <c r="P40" s="16">
        <v>0</v>
      </c>
      <c r="Q40" s="14">
        <v>0</v>
      </c>
      <c r="R40" s="16">
        <v>0</v>
      </c>
      <c r="S40" s="14">
        <v>0</v>
      </c>
      <c r="T40" s="16">
        <v>0</v>
      </c>
      <c r="U40" s="14">
        <v>0</v>
      </c>
      <c r="V40" s="16">
        <v>0</v>
      </c>
    </row>
    <row r="41" spans="1:22" x14ac:dyDescent="0.25">
      <c r="A41" s="11" t="s">
        <v>174</v>
      </c>
      <c r="B41" s="13">
        <v>2854</v>
      </c>
      <c r="C41" s="14">
        <f>(2375/B41*100)</f>
        <v>83.216538192011214</v>
      </c>
      <c r="D41" s="15">
        <v>479</v>
      </c>
      <c r="E41" s="14">
        <v>38.719756320000002</v>
      </c>
      <c r="F41" s="16">
        <v>2.5269743099999999</v>
      </c>
      <c r="G41" s="14">
        <v>42.401479199999997</v>
      </c>
      <c r="H41" s="16">
        <v>2.3465028700000001</v>
      </c>
      <c r="I41" s="14">
        <v>0.49383754000000002</v>
      </c>
      <c r="J41" s="16">
        <v>0.33560293000000002</v>
      </c>
      <c r="K41" s="14">
        <v>18.38492694</v>
      </c>
      <c r="L41" s="16">
        <v>1.8660117700000001</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3612.53125</v>
      </c>
      <c r="C42" s="14">
        <f>IF(COUNT(C7:C41) &gt; 0, AVERAGE(C7:C41), "—")</f>
        <v>83.276353847089055</v>
      </c>
      <c r="D42" s="15">
        <f>IF(COUNT(D7:D41) &gt; 0, AVERAGE(D7:D41), "—")</f>
        <v>605.96875</v>
      </c>
      <c r="E42" s="14">
        <f>IF(COUNT(E7:E41) &gt; 0, AVERAGE(E7:E41), "—")</f>
        <v>34.310817812812502</v>
      </c>
      <c r="F42" s="16">
        <f>IF(COUNT(F7:F41) &gt; 0, SQRT(SUMSQ(F7:F41)/(COUNT(F7:F41)*COUNT(F7:F41)) ), "—")</f>
        <v>0.39515983615444239</v>
      </c>
      <c r="G42" s="14">
        <f>IF(COUNT(G7:G41) &gt; 0, AVERAGE(G7:G41), "—")</f>
        <v>40.337080800312506</v>
      </c>
      <c r="H42" s="16">
        <f>IF(COUNT(H7:H41) &gt; 0, SQRT(SUMSQ(H7:H41)/(COUNT(H7:H41)*COUNT(H7:H41)) ), "—")</f>
        <v>0.40166556070230358</v>
      </c>
      <c r="I42" s="14">
        <f>IF(COUNT(I7:I41) &gt; 0, AVERAGE(I7:I41), "—")</f>
        <v>0.52289101281250017</v>
      </c>
      <c r="J42" s="16">
        <f>IF(COUNT(J7:J41) &gt; 0, SQRT(SUMSQ(J7:J41)/(COUNT(J7:J41)*COUNT(J7:J41)) ), "—")</f>
        <v>6.3949740320697682E-2</v>
      </c>
      <c r="K42" s="14">
        <f>IF(COUNT(K7:K41) &gt; 0, AVERAGE(K7:K41), "—")</f>
        <v>24.829210374374998</v>
      </c>
      <c r="L42" s="16">
        <f>IF(COUNT(L7:L41) &gt; 0, SQRT(SUMSQ(L7:L41)/(COUNT(L7:L41)*COUNT(L7:L41)) ), "—")</f>
        <v>0.35108217324022756</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12073</v>
      </c>
      <c r="C46" s="14">
        <f>(10502/B46*100)</f>
        <v>86.987492752422753</v>
      </c>
      <c r="D46" s="15">
        <v>1571</v>
      </c>
      <c r="E46" s="14">
        <v>52.440090750000003</v>
      </c>
      <c r="F46" s="16">
        <v>1.70163927</v>
      </c>
      <c r="G46" s="14">
        <v>35.648525980000002</v>
      </c>
      <c r="H46" s="16">
        <v>1.4237155399999999</v>
      </c>
      <c r="I46" s="14">
        <v>0.25548366</v>
      </c>
      <c r="J46" s="16">
        <v>0.22275638</v>
      </c>
      <c r="K46" s="14">
        <v>11.65589962</v>
      </c>
      <c r="L46" s="16">
        <v>1.02648571</v>
      </c>
      <c r="M46" s="14" t="s">
        <v>139</v>
      </c>
      <c r="N46" s="16" t="s">
        <v>139</v>
      </c>
      <c r="O46" s="14">
        <v>0</v>
      </c>
      <c r="P46" s="16">
        <v>0</v>
      </c>
      <c r="Q46" s="14">
        <v>0</v>
      </c>
      <c r="R46" s="16">
        <v>0</v>
      </c>
      <c r="S46" s="14">
        <v>0</v>
      </c>
      <c r="T46" s="16">
        <v>0</v>
      </c>
      <c r="U46" s="14">
        <v>0</v>
      </c>
      <c r="V46" s="16">
        <v>0</v>
      </c>
    </row>
    <row r="47" spans="1:22" x14ac:dyDescent="0.25">
      <c r="A47" s="11" t="s">
        <v>180</v>
      </c>
      <c r="B47" s="13">
        <v>2823</v>
      </c>
      <c r="C47" s="14">
        <f>(2373/B47*100)</f>
        <v>84.05951115834219</v>
      </c>
      <c r="D47" s="15">
        <v>450</v>
      </c>
      <c r="E47" s="14">
        <v>50.018605309999998</v>
      </c>
      <c r="F47" s="16">
        <v>2.2958736800000001</v>
      </c>
      <c r="G47" s="14">
        <v>33.697745990000001</v>
      </c>
      <c r="H47" s="16">
        <v>2.1949266500000002</v>
      </c>
      <c r="I47" s="14">
        <v>0.21125911</v>
      </c>
      <c r="J47" s="16">
        <v>0.21122794</v>
      </c>
      <c r="K47" s="14">
        <v>16.072389579999999</v>
      </c>
      <c r="L47" s="16">
        <v>1.8175045000000001</v>
      </c>
      <c r="M47" s="14" t="s">
        <v>139</v>
      </c>
      <c r="N47" s="16" t="s">
        <v>139</v>
      </c>
      <c r="O47" s="14">
        <v>0</v>
      </c>
      <c r="P47" s="16">
        <v>0</v>
      </c>
      <c r="Q47" s="14">
        <v>0</v>
      </c>
      <c r="R47" s="16">
        <v>0</v>
      </c>
      <c r="S47" s="14">
        <v>0</v>
      </c>
      <c r="T47" s="16">
        <v>0</v>
      </c>
      <c r="U47" s="14">
        <v>0</v>
      </c>
      <c r="V47" s="16">
        <v>0</v>
      </c>
    </row>
    <row r="48" spans="1:22" x14ac:dyDescent="0.25">
      <c r="A48" s="11" t="s">
        <v>181</v>
      </c>
      <c r="B48" s="13">
        <v>4682</v>
      </c>
      <c r="C48" s="14">
        <f>(3865/B48*100)</f>
        <v>82.550192225544635</v>
      </c>
      <c r="D48" s="15">
        <v>817</v>
      </c>
      <c r="E48" s="14">
        <v>38.37977918</v>
      </c>
      <c r="F48" s="16">
        <v>2.3771414800000001</v>
      </c>
      <c r="G48" s="14">
        <v>35.258421740000003</v>
      </c>
      <c r="H48" s="16">
        <v>2.17790727</v>
      </c>
      <c r="I48" s="14">
        <v>0.21266339000000001</v>
      </c>
      <c r="J48" s="16">
        <v>0.15002091000000001</v>
      </c>
      <c r="K48" s="14">
        <v>26.149135699999999</v>
      </c>
      <c r="L48" s="16">
        <v>2.6129653099999999</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6158</v>
      </c>
      <c r="C50" s="14">
        <f>(5175/B50*100)</f>
        <v>84.037025008119514</v>
      </c>
      <c r="D50" s="15">
        <v>983</v>
      </c>
      <c r="E50" s="14">
        <v>46.695386620000001</v>
      </c>
      <c r="F50" s="16">
        <v>1.93324159</v>
      </c>
      <c r="G50" s="14">
        <v>40.472793420000002</v>
      </c>
      <c r="H50" s="16">
        <v>2.2097355099999998</v>
      </c>
      <c r="I50" s="14">
        <v>0.20359517999999999</v>
      </c>
      <c r="J50" s="16">
        <v>0.12390097999999999</v>
      </c>
      <c r="K50" s="14">
        <v>12.628224769999999</v>
      </c>
      <c r="L50" s="16">
        <v>1.52502699</v>
      </c>
      <c r="M50" s="14" t="s">
        <v>139</v>
      </c>
      <c r="N50" s="16" t="s">
        <v>139</v>
      </c>
      <c r="O50" s="14">
        <v>0</v>
      </c>
      <c r="P50" s="16">
        <v>0</v>
      </c>
      <c r="Q50" s="14">
        <v>0</v>
      </c>
      <c r="R50" s="16">
        <v>0</v>
      </c>
      <c r="S50" s="14">
        <v>0</v>
      </c>
      <c r="T50" s="16">
        <v>0</v>
      </c>
      <c r="U50" s="14">
        <v>0</v>
      </c>
      <c r="V50" s="16">
        <v>0</v>
      </c>
    </row>
    <row r="51" spans="1:22" x14ac:dyDescent="0.25">
      <c r="A51" s="11" t="s">
        <v>184</v>
      </c>
      <c r="B51" s="13">
        <v>3494</v>
      </c>
      <c r="C51" s="14">
        <f>(3000/B51*100)</f>
        <v>85.861476817401268</v>
      </c>
      <c r="D51" s="15">
        <v>494</v>
      </c>
      <c r="E51" s="14">
        <v>44.783965960000003</v>
      </c>
      <c r="F51" s="16">
        <v>2.3196925899999998</v>
      </c>
      <c r="G51" s="14">
        <v>44.524997939999999</v>
      </c>
      <c r="H51" s="16">
        <v>2.4203120299999998</v>
      </c>
      <c r="I51" s="14">
        <v>0.65154438999999997</v>
      </c>
      <c r="J51" s="16">
        <v>0.39402144</v>
      </c>
      <c r="K51" s="14">
        <v>10.03949171</v>
      </c>
      <c r="L51" s="16">
        <v>1.3525609199999999</v>
      </c>
      <c r="M51" s="14" t="s">
        <v>139</v>
      </c>
      <c r="N51" s="16" t="s">
        <v>139</v>
      </c>
      <c r="O51" s="14">
        <v>0</v>
      </c>
      <c r="P51" s="16">
        <v>0</v>
      </c>
      <c r="Q51" s="14">
        <v>0</v>
      </c>
      <c r="R51" s="16">
        <v>0</v>
      </c>
      <c r="S51" s="14">
        <v>0</v>
      </c>
      <c r="T51" s="16">
        <v>0</v>
      </c>
      <c r="U51" s="14">
        <v>0</v>
      </c>
      <c r="V51" s="16">
        <v>0</v>
      </c>
    </row>
    <row r="52" spans="1:22" x14ac:dyDescent="0.25">
      <c r="A52" s="11" t="s">
        <v>185</v>
      </c>
      <c r="B52" s="13">
        <v>3013</v>
      </c>
      <c r="C52" s="14">
        <f>(2499/B52*100)</f>
        <v>82.940590773315634</v>
      </c>
      <c r="D52" s="15">
        <v>514</v>
      </c>
      <c r="E52" s="14">
        <v>37.194875209999999</v>
      </c>
      <c r="F52" s="16">
        <v>2.24653357</v>
      </c>
      <c r="G52" s="14">
        <v>41.438017279999997</v>
      </c>
      <c r="H52" s="16">
        <v>2.0472858600000001</v>
      </c>
      <c r="I52" s="14">
        <v>0.14746255999999999</v>
      </c>
      <c r="J52" s="16">
        <v>0.14796466999999999</v>
      </c>
      <c r="K52" s="14">
        <v>21.219644949999999</v>
      </c>
      <c r="L52" s="16">
        <v>1.9954843799999999</v>
      </c>
      <c r="M52" s="14" t="s">
        <v>139</v>
      </c>
      <c r="N52" s="16" t="s">
        <v>139</v>
      </c>
      <c r="O52" s="14">
        <v>0</v>
      </c>
      <c r="P52" s="16">
        <v>0</v>
      </c>
      <c r="Q52" s="14">
        <v>0</v>
      </c>
      <c r="R52" s="16">
        <v>0</v>
      </c>
      <c r="S52" s="14">
        <v>0</v>
      </c>
      <c r="T52" s="16">
        <v>0</v>
      </c>
      <c r="U52" s="14">
        <v>0</v>
      </c>
      <c r="V52" s="16">
        <v>0</v>
      </c>
    </row>
    <row r="53" spans="1:22" x14ac:dyDescent="0.25">
      <c r="A53" s="11" t="s">
        <v>186</v>
      </c>
      <c r="B53" s="13">
        <v>2760</v>
      </c>
      <c r="C53" s="14">
        <f>(2283/B53*100)</f>
        <v>82.717391304347828</v>
      </c>
      <c r="D53" s="15">
        <v>477</v>
      </c>
      <c r="E53" s="14">
        <v>38.199715930000004</v>
      </c>
      <c r="F53" s="16">
        <v>2.3594499</v>
      </c>
      <c r="G53" s="14">
        <v>43.026271149999999</v>
      </c>
      <c r="H53" s="16">
        <v>2.3716690900000001</v>
      </c>
      <c r="I53" s="14">
        <v>0.89865276000000005</v>
      </c>
      <c r="J53" s="16">
        <v>0.41601843999999999</v>
      </c>
      <c r="K53" s="14">
        <v>17.87536016</v>
      </c>
      <c r="L53" s="16">
        <v>1.9308662000000001</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2675</v>
      </c>
      <c r="C56" s="14">
        <f>(2204/B56*100)</f>
        <v>82.392523364485982</v>
      </c>
      <c r="D56" s="15">
        <v>471</v>
      </c>
      <c r="E56" s="14">
        <v>21.60875012</v>
      </c>
      <c r="F56" s="16">
        <v>2.27212507</v>
      </c>
      <c r="G56" s="14">
        <v>30.989437070000001</v>
      </c>
      <c r="H56" s="16">
        <v>2.6068878600000001</v>
      </c>
      <c r="I56" s="14">
        <v>0.15049514999999999</v>
      </c>
      <c r="J56" s="16">
        <v>0.15175985</v>
      </c>
      <c r="K56" s="14">
        <v>47.251317659999998</v>
      </c>
      <c r="L56" s="16">
        <v>2.30207973</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3201</v>
      </c>
      <c r="C61" s="14">
        <f>(2652/B61*100)</f>
        <v>82.84910965323337</v>
      </c>
      <c r="D61" s="15">
        <v>549</v>
      </c>
      <c r="E61" s="14">
        <v>41.056139639999998</v>
      </c>
      <c r="F61" s="16">
        <v>2.52041922</v>
      </c>
      <c r="G61" s="14">
        <v>38.280462290000003</v>
      </c>
      <c r="H61" s="16">
        <v>2.2475298000000001</v>
      </c>
      <c r="I61" s="14">
        <v>0.98162921000000003</v>
      </c>
      <c r="J61" s="16">
        <v>0.55781062000000003</v>
      </c>
      <c r="K61" s="14">
        <v>19.681768859999998</v>
      </c>
      <c r="L61" s="16">
        <v>1.78894705</v>
      </c>
      <c r="M61" s="14" t="s">
        <v>139</v>
      </c>
      <c r="N61" s="16" t="s">
        <v>139</v>
      </c>
      <c r="O61" s="14">
        <v>0</v>
      </c>
      <c r="P61" s="16">
        <v>0</v>
      </c>
      <c r="Q61" s="14">
        <v>0</v>
      </c>
      <c r="R61" s="16">
        <v>0</v>
      </c>
      <c r="S61" s="14">
        <v>0</v>
      </c>
      <c r="T61" s="16">
        <v>0</v>
      </c>
      <c r="U61" s="14">
        <v>0</v>
      </c>
      <c r="V61" s="16">
        <v>0</v>
      </c>
    </row>
    <row r="62" spans="1:22" x14ac:dyDescent="0.25">
      <c r="A62" s="11" t="s">
        <v>195</v>
      </c>
      <c r="B62" s="13">
        <v>2230</v>
      </c>
      <c r="C62" s="14">
        <f>(1845/B62*100)</f>
        <v>82.735426008968602</v>
      </c>
      <c r="D62" s="15">
        <v>385</v>
      </c>
      <c r="E62" s="14">
        <v>24.17631149</v>
      </c>
      <c r="F62" s="16">
        <v>2.24116882</v>
      </c>
      <c r="G62" s="14">
        <v>36.352836979999999</v>
      </c>
      <c r="H62" s="16">
        <v>2.2343446299999998</v>
      </c>
      <c r="I62" s="14">
        <v>0.54279003000000003</v>
      </c>
      <c r="J62" s="16">
        <v>0.38684497000000001</v>
      </c>
      <c r="K62" s="14">
        <v>38.928061489999997</v>
      </c>
      <c r="L62" s="16">
        <v>2.6835877400000001</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2771</v>
      </c>
      <c r="C66" s="14">
        <f>(2318/B66*100)</f>
        <v>83.652111151208956</v>
      </c>
      <c r="D66" s="15">
        <v>453</v>
      </c>
      <c r="E66" s="14">
        <v>47.231284899999999</v>
      </c>
      <c r="F66" s="16">
        <v>2.4116100700000001</v>
      </c>
      <c r="G66" s="14">
        <v>36.797972229999999</v>
      </c>
      <c r="H66" s="16">
        <v>2.2917794499999999</v>
      </c>
      <c r="I66" s="14">
        <v>0.24353718999999999</v>
      </c>
      <c r="J66" s="16">
        <v>0.24515274000000001</v>
      </c>
      <c r="K66" s="14">
        <v>15.72720567</v>
      </c>
      <c r="L66" s="16">
        <v>1.93396626</v>
      </c>
      <c r="M66" s="14" t="s">
        <v>139</v>
      </c>
      <c r="N66" s="16" t="s">
        <v>139</v>
      </c>
      <c r="O66" s="14">
        <v>0</v>
      </c>
      <c r="P66" s="16">
        <v>0</v>
      </c>
      <c r="Q66" s="14">
        <v>0</v>
      </c>
      <c r="R66" s="16">
        <v>0</v>
      </c>
      <c r="S66" s="14">
        <v>0</v>
      </c>
      <c r="T66" s="16">
        <v>0</v>
      </c>
      <c r="U66" s="14">
        <v>0</v>
      </c>
      <c r="V66" s="16">
        <v>0</v>
      </c>
    </row>
    <row r="67" spans="1:22" x14ac:dyDescent="0.25">
      <c r="A67" s="11" t="s">
        <v>200</v>
      </c>
      <c r="B67" s="13">
        <v>3460</v>
      </c>
      <c r="C67" s="14">
        <f>(2953/B67*100)</f>
        <v>85.346820809248555</v>
      </c>
      <c r="D67" s="15">
        <v>507</v>
      </c>
      <c r="E67" s="14">
        <v>45.749759310000002</v>
      </c>
      <c r="F67" s="16">
        <v>2.6583851900000002</v>
      </c>
      <c r="G67" s="14">
        <v>39.874800110000002</v>
      </c>
      <c r="H67" s="16">
        <v>2.1727323099999998</v>
      </c>
      <c r="I67" s="14">
        <v>0.54873298999999998</v>
      </c>
      <c r="J67" s="16">
        <v>0.31450492000000002</v>
      </c>
      <c r="K67" s="14">
        <v>13.826707600000001</v>
      </c>
      <c r="L67" s="16">
        <v>1.5997780399999999</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3107</v>
      </c>
      <c r="C70" s="14">
        <f>(2594/B70*100)</f>
        <v>83.488896041197293</v>
      </c>
      <c r="D70" s="15">
        <v>513</v>
      </c>
      <c r="E70" s="14">
        <v>46.75129725</v>
      </c>
      <c r="F70" s="16">
        <v>2.7763048299999999</v>
      </c>
      <c r="G70" s="14">
        <v>36.099095390000002</v>
      </c>
      <c r="H70" s="16">
        <v>2.3368612299999998</v>
      </c>
      <c r="I70" s="14">
        <v>0</v>
      </c>
      <c r="J70" s="16">
        <v>0</v>
      </c>
      <c r="K70" s="14">
        <v>17.149607360000001</v>
      </c>
      <c r="L70" s="16">
        <v>2.1836330500000001</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3819</v>
      </c>
      <c r="C72" s="14">
        <f>(3164/B72*100)</f>
        <v>82.848913328096359</v>
      </c>
      <c r="D72" s="15">
        <v>655</v>
      </c>
      <c r="E72" s="14">
        <v>29.756681189999998</v>
      </c>
      <c r="F72" s="16">
        <v>1.5424882200000001</v>
      </c>
      <c r="G72" s="14">
        <v>44.008078789999999</v>
      </c>
      <c r="H72" s="16">
        <v>2.0130801200000001</v>
      </c>
      <c r="I72" s="14">
        <v>0.32666089999999998</v>
      </c>
      <c r="J72" s="16">
        <v>0.18910682000000001</v>
      </c>
      <c r="K72" s="14">
        <v>25.908579110000002</v>
      </c>
      <c r="L72" s="16">
        <v>1.9790707999999999</v>
      </c>
      <c r="M72" s="14" t="s">
        <v>139</v>
      </c>
      <c r="N72" s="16" t="s">
        <v>139</v>
      </c>
      <c r="O72" s="14">
        <v>0</v>
      </c>
      <c r="P72" s="16">
        <v>0</v>
      </c>
      <c r="Q72" s="14">
        <v>0</v>
      </c>
      <c r="R72" s="16">
        <v>0</v>
      </c>
      <c r="S72" s="14">
        <v>0</v>
      </c>
      <c r="T72" s="16">
        <v>0</v>
      </c>
      <c r="U72" s="14">
        <v>0</v>
      </c>
      <c r="V72" s="16">
        <v>0</v>
      </c>
    </row>
    <row r="73" spans="1:22" x14ac:dyDescent="0.25">
      <c r="A73" s="11" t="s">
        <v>206</v>
      </c>
      <c r="B73" s="13">
        <v>4652</v>
      </c>
      <c r="C73" s="14">
        <f>(3933/B73*100)</f>
        <v>84.544282029234736</v>
      </c>
      <c r="D73" s="15">
        <v>719</v>
      </c>
      <c r="E73" s="14">
        <v>43.514810670000003</v>
      </c>
      <c r="F73" s="16">
        <v>2.5367100900000001</v>
      </c>
      <c r="G73" s="14">
        <v>41.94763442</v>
      </c>
      <c r="H73" s="16">
        <v>2.4647192699999998</v>
      </c>
      <c r="I73" s="14">
        <v>0.23129923999999999</v>
      </c>
      <c r="J73" s="16">
        <v>0.32722476</v>
      </c>
      <c r="K73" s="14">
        <v>14.30625568</v>
      </c>
      <c r="L73" s="16">
        <v>2.00194487</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2969</v>
      </c>
      <c r="C75" s="14">
        <f>(2506/B75*100)</f>
        <v>84.405523745368811</v>
      </c>
      <c r="D75" s="15">
        <v>463</v>
      </c>
      <c r="E75" s="14">
        <v>70.549333720000007</v>
      </c>
      <c r="F75" s="16">
        <v>2.0612875700000002</v>
      </c>
      <c r="G75" s="14">
        <v>24.075256509999999</v>
      </c>
      <c r="H75" s="16">
        <v>1.91335316</v>
      </c>
      <c r="I75" s="14">
        <v>0.56293919999999997</v>
      </c>
      <c r="J75" s="16">
        <v>0.40263643999999998</v>
      </c>
      <c r="K75" s="14">
        <v>4.8124705700000003</v>
      </c>
      <c r="L75" s="16">
        <v>0.98773933999999997</v>
      </c>
      <c r="M75" s="14" t="s">
        <v>139</v>
      </c>
      <c r="N75" s="16" t="s">
        <v>139</v>
      </c>
      <c r="O75" s="14">
        <v>0</v>
      </c>
      <c r="P75" s="16">
        <v>0</v>
      </c>
      <c r="Q75" s="14">
        <v>0</v>
      </c>
      <c r="R75" s="16">
        <v>0</v>
      </c>
      <c r="S75" s="14">
        <v>0</v>
      </c>
      <c r="T75" s="16">
        <v>0</v>
      </c>
      <c r="U75" s="14">
        <v>0</v>
      </c>
      <c r="V75" s="16">
        <v>0</v>
      </c>
    </row>
    <row r="76" spans="1:22" x14ac:dyDescent="0.25">
      <c r="A76" s="11" t="s">
        <v>209</v>
      </c>
      <c r="B76" s="13">
        <v>7115</v>
      </c>
      <c r="C76" s="14">
        <f>(5920/B76*100)</f>
        <v>83.204497540407587</v>
      </c>
      <c r="D76" s="15">
        <v>1195</v>
      </c>
      <c r="E76" s="14">
        <v>53.300470189999999</v>
      </c>
      <c r="F76" s="16">
        <v>2.0570325399999998</v>
      </c>
      <c r="G76" s="14">
        <v>35.492649829999998</v>
      </c>
      <c r="H76" s="16">
        <v>1.8998926</v>
      </c>
      <c r="I76" s="14">
        <v>0.59101992999999997</v>
      </c>
      <c r="J76" s="16">
        <v>0.32399656999999998</v>
      </c>
      <c r="K76" s="14">
        <v>10.615860039999999</v>
      </c>
      <c r="L76" s="16">
        <v>0.92244672999999999</v>
      </c>
      <c r="M76" s="14" t="s">
        <v>139</v>
      </c>
      <c r="N76" s="16" t="s">
        <v>139</v>
      </c>
      <c r="O76" s="14">
        <v>0</v>
      </c>
      <c r="P76" s="16">
        <v>0</v>
      </c>
      <c r="Q76" s="14">
        <v>0</v>
      </c>
      <c r="R76" s="16">
        <v>0</v>
      </c>
      <c r="S76" s="14">
        <v>0</v>
      </c>
      <c r="T76" s="16">
        <v>0</v>
      </c>
      <c r="U76" s="14">
        <v>0</v>
      </c>
      <c r="V76" s="16">
        <v>0</v>
      </c>
    </row>
    <row r="77" spans="1:22" x14ac:dyDescent="0.25">
      <c r="A77" s="11" t="s">
        <v>210</v>
      </c>
      <c r="B77" s="13">
        <v>3154</v>
      </c>
      <c r="C77" s="14">
        <f>(2636/B77*100)</f>
        <v>83.576410906785043</v>
      </c>
      <c r="D77" s="15">
        <v>518</v>
      </c>
      <c r="E77" s="14">
        <v>40.804655889999999</v>
      </c>
      <c r="F77" s="16">
        <v>2.4424912999999999</v>
      </c>
      <c r="G77" s="14">
        <v>40.494838620000003</v>
      </c>
      <c r="H77" s="16">
        <v>2.29240091</v>
      </c>
      <c r="I77" s="14">
        <v>1.4077522600000001</v>
      </c>
      <c r="J77" s="16">
        <v>0.50724387000000004</v>
      </c>
      <c r="K77" s="14">
        <v>17.292753229999999</v>
      </c>
      <c r="L77" s="16">
        <v>1.8813845899999999</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4698</v>
      </c>
      <c r="C81" s="14">
        <f>(3888/B81*100)</f>
        <v>82.758620689655174</v>
      </c>
      <c r="D81" s="15">
        <v>810</v>
      </c>
      <c r="E81" s="14">
        <v>42.01865626</v>
      </c>
      <c r="F81" s="16">
        <v>2.0257932099999998</v>
      </c>
      <c r="G81" s="14">
        <v>48.134034790000001</v>
      </c>
      <c r="H81" s="16">
        <v>2.1842472000000002</v>
      </c>
      <c r="I81" s="14">
        <v>9.6710700000000004E-3</v>
      </c>
      <c r="J81" s="16">
        <v>9.6255799999999999E-3</v>
      </c>
      <c r="K81" s="14">
        <v>9.8376378800000008</v>
      </c>
      <c r="L81" s="16">
        <v>1.36859007</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(6012/B7*100)</f>
        <v>83.931313695379032</v>
      </c>
      <c r="D7" s="15">
        <v>1151</v>
      </c>
      <c r="E7" s="14">
        <v>46.25578161</v>
      </c>
      <c r="F7" s="16">
        <v>1.6528976399999999</v>
      </c>
      <c r="G7" s="14">
        <v>53.74421839</v>
      </c>
      <c r="H7" s="16">
        <v>1.6528976399999999</v>
      </c>
      <c r="I7" s="14" t="s">
        <v>139</v>
      </c>
      <c r="J7" s="16" t="s">
        <v>139</v>
      </c>
      <c r="K7" s="14">
        <v>0</v>
      </c>
      <c r="L7" s="16">
        <v>0</v>
      </c>
      <c r="M7" s="14">
        <v>0</v>
      </c>
      <c r="N7" s="16">
        <v>0</v>
      </c>
      <c r="O7" s="14">
        <v>0</v>
      </c>
      <c r="P7" s="16">
        <v>0</v>
      </c>
      <c r="Q7" s="14">
        <v>0</v>
      </c>
      <c r="R7" s="16">
        <v>0</v>
      </c>
    </row>
    <row r="8" spans="1:18" x14ac:dyDescent="0.25">
      <c r="A8" s="11" t="s">
        <v>140</v>
      </c>
      <c r="B8" s="13">
        <v>3443</v>
      </c>
      <c r="C8" s="14">
        <f>(2881/B8*100)</f>
        <v>83.677025849549807</v>
      </c>
      <c r="D8" s="15">
        <v>562</v>
      </c>
      <c r="E8" s="14">
        <v>42.241565020000003</v>
      </c>
      <c r="F8" s="16">
        <v>2.2310542099999999</v>
      </c>
      <c r="G8" s="14">
        <v>57.758434979999997</v>
      </c>
      <c r="H8" s="16">
        <v>2.2310542099999999</v>
      </c>
      <c r="I8" s="14" t="s">
        <v>139</v>
      </c>
      <c r="J8" s="16" t="s">
        <v>139</v>
      </c>
      <c r="K8" s="14">
        <v>0</v>
      </c>
      <c r="L8" s="16">
        <v>0</v>
      </c>
      <c r="M8" s="14">
        <v>0</v>
      </c>
      <c r="N8" s="16">
        <v>0</v>
      </c>
      <c r="O8" s="14">
        <v>0</v>
      </c>
      <c r="P8" s="16">
        <v>0</v>
      </c>
      <c r="Q8" s="14">
        <v>0</v>
      </c>
      <c r="R8" s="16">
        <v>0</v>
      </c>
    </row>
    <row r="9" spans="1:18" x14ac:dyDescent="0.25">
      <c r="A9" s="11" t="s">
        <v>141</v>
      </c>
      <c r="B9" s="13">
        <v>4752</v>
      </c>
      <c r="C9" s="14">
        <f>(3969/B9*100)</f>
        <v>83.522727272727266</v>
      </c>
      <c r="D9" s="15">
        <v>783</v>
      </c>
      <c r="E9" s="14">
        <v>47.856441410000002</v>
      </c>
      <c r="F9" s="16">
        <v>2.0734662099999999</v>
      </c>
      <c r="G9" s="14">
        <v>52.143558589999998</v>
      </c>
      <c r="H9" s="16">
        <v>2.0734662099999999</v>
      </c>
      <c r="I9" s="14" t="s">
        <v>139</v>
      </c>
      <c r="J9" s="16" t="s">
        <v>139</v>
      </c>
      <c r="K9" s="14">
        <v>0</v>
      </c>
      <c r="L9" s="16">
        <v>0</v>
      </c>
      <c r="M9" s="14">
        <v>0</v>
      </c>
      <c r="N9" s="16">
        <v>0</v>
      </c>
      <c r="O9" s="14">
        <v>0</v>
      </c>
      <c r="P9" s="16">
        <v>0</v>
      </c>
      <c r="Q9" s="14">
        <v>0</v>
      </c>
      <c r="R9" s="16">
        <v>0</v>
      </c>
    </row>
    <row r="10" spans="1:18" x14ac:dyDescent="0.25">
      <c r="A10" s="11" t="s">
        <v>142</v>
      </c>
      <c r="B10" s="13">
        <v>10022</v>
      </c>
      <c r="C10" s="14">
        <f>(8304/B10*100)</f>
        <v>82.857713031331073</v>
      </c>
      <c r="D10" s="15">
        <v>1718</v>
      </c>
      <c r="E10" s="14">
        <v>43.240240100000001</v>
      </c>
      <c r="F10" s="16">
        <v>1.8872251900000001</v>
      </c>
      <c r="G10" s="14">
        <v>56.759759899999999</v>
      </c>
      <c r="H10" s="16">
        <v>1.8872251900000001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(2938/B11*100)</f>
        <v>83.942857142857136</v>
      </c>
      <c r="D11" s="15">
        <v>562</v>
      </c>
      <c r="E11" s="14">
        <v>39.45150538</v>
      </c>
      <c r="F11" s="16">
        <v>2.2786499899999999</v>
      </c>
      <c r="G11" s="14">
        <v>60.54849462</v>
      </c>
      <c r="H11" s="16">
        <v>2.2786499899999999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(2871/B12*100)</f>
        <v>83.898305084745758</v>
      </c>
      <c r="D12" s="15">
        <v>551</v>
      </c>
      <c r="E12" s="14">
        <v>36.139928040000001</v>
      </c>
      <c r="F12" s="16">
        <v>2.5481247800000002</v>
      </c>
      <c r="G12" s="14">
        <v>63.860071959999999</v>
      </c>
      <c r="H12" s="16">
        <v>2.5481247800000002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(3033/B13*100)</f>
        <v>84.203220433092724</v>
      </c>
      <c r="D13" s="15">
        <v>569</v>
      </c>
      <c r="E13" s="14">
        <v>37.770232280000002</v>
      </c>
      <c r="F13" s="16">
        <v>2.51958175</v>
      </c>
      <c r="G13" s="14">
        <v>62.229767719999998</v>
      </c>
      <c r="H13" s="16">
        <v>2.51958175</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(2322/B14*100)</f>
        <v>83.285509325681488</v>
      </c>
      <c r="D14" s="15">
        <v>466</v>
      </c>
      <c r="E14" s="14">
        <v>17.53095931</v>
      </c>
      <c r="F14" s="16">
        <v>2.21177738</v>
      </c>
      <c r="G14" s="14">
        <v>82.46904069</v>
      </c>
      <c r="H14" s="16">
        <v>2.21177738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32.091718290000003</v>
      </c>
      <c r="F15" s="16">
        <v>2.0461023699999998</v>
      </c>
      <c r="G15" s="14">
        <v>67.908281709999997</v>
      </c>
      <c r="H15" s="16">
        <v>2.0461023699999998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(2585/B16*100)</f>
        <v>83.092253294760525</v>
      </c>
      <c r="D16" s="15">
        <v>526</v>
      </c>
      <c r="E16" s="14">
        <v>47.301058789999999</v>
      </c>
      <c r="F16" s="16">
        <v>1.7328039799999999</v>
      </c>
      <c r="G16" s="14">
        <v>52.698941210000001</v>
      </c>
      <c r="H16" s="16">
        <v>1.7328039799999999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(2666/B17*100)</f>
        <v>83.390678761338748</v>
      </c>
      <c r="D17" s="15">
        <v>531</v>
      </c>
      <c r="E17" s="14">
        <v>38.949760869999999</v>
      </c>
      <c r="F17" s="16">
        <v>2.26999861</v>
      </c>
      <c r="G17" s="14">
        <v>61.050239130000001</v>
      </c>
      <c r="H17" s="16">
        <v>2.26999861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(2241/B18*100)</f>
        <v>82.815964523281593</v>
      </c>
      <c r="D18" s="15">
        <v>465</v>
      </c>
      <c r="E18" s="14">
        <v>56.87080022</v>
      </c>
      <c r="F18" s="16">
        <v>2.2845113800000001</v>
      </c>
      <c r="G18" s="14">
        <v>43.12919978</v>
      </c>
      <c r="H18" s="16">
        <v>2.2845113800000001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(2391/B19*100)</f>
        <v>83.89473684210526</v>
      </c>
      <c r="D19" s="15">
        <v>459</v>
      </c>
      <c r="E19" s="14">
        <v>48.27923345</v>
      </c>
      <c r="F19" s="16">
        <v>2.7872810399999999</v>
      </c>
      <c r="G19" s="14">
        <v>51.72076655</v>
      </c>
      <c r="H19" s="16">
        <v>2.7872810399999999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(1461/B20*100)</f>
        <v>83.917288914417</v>
      </c>
      <c r="D20" s="15">
        <v>280</v>
      </c>
      <c r="E20" s="14">
        <v>44.2355856</v>
      </c>
      <c r="F20" s="16">
        <v>3.0767351299999999</v>
      </c>
      <c r="G20" s="14">
        <v>55.7644144</v>
      </c>
      <c r="H20" s="16">
        <v>3.0767351299999999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(3139/B22*100)</f>
        <v>85.601308971911649</v>
      </c>
      <c r="D22" s="15">
        <v>528</v>
      </c>
      <c r="E22" s="14">
        <v>31.322104020000001</v>
      </c>
      <c r="F22" s="16">
        <v>2.0751437300000002</v>
      </c>
      <c r="G22" s="14">
        <v>68.677895980000002</v>
      </c>
      <c r="H22" s="16">
        <v>2.0751437300000002</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(4827/B23*100)</f>
        <v>83.33908839779005</v>
      </c>
      <c r="D23" s="15">
        <v>965</v>
      </c>
      <c r="E23" s="14">
        <v>48.400668699999997</v>
      </c>
      <c r="F23" s="16">
        <v>2.5325055999999999</v>
      </c>
      <c r="G23" s="14">
        <v>51.599331300000003</v>
      </c>
      <c r="H23" s="16">
        <v>2.5325055999999999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(2750/B24*100)</f>
        <v>83.106678754910845</v>
      </c>
      <c r="D24" s="15">
        <v>559</v>
      </c>
      <c r="E24" s="14">
        <v>63.746823800000001</v>
      </c>
      <c r="F24" s="16">
        <v>2.0513042600000002</v>
      </c>
      <c r="G24" s="14">
        <v>36.253176199999999</v>
      </c>
      <c r="H24" s="16">
        <v>2.0513042600000002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45.380270930000002</v>
      </c>
      <c r="F25" s="16">
        <v>2.4787239699999999</v>
      </c>
      <c r="G25" s="14">
        <v>54.619729069999998</v>
      </c>
      <c r="H25" s="16">
        <v>2.4787239699999999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(2004/B26*100)</f>
        <v>82.844150475403055</v>
      </c>
      <c r="D26" s="15">
        <v>415</v>
      </c>
      <c r="E26" s="14">
        <v>27.194081180000001</v>
      </c>
      <c r="F26" s="16">
        <v>2.11750908</v>
      </c>
      <c r="G26" s="14">
        <v>72.805918820000002</v>
      </c>
      <c r="H26" s="16">
        <v>2.11750908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(2258/B27*100)</f>
        <v>84.159522922102127</v>
      </c>
      <c r="D27" s="15">
        <v>425</v>
      </c>
      <c r="E27" s="14">
        <v>42.991723669999999</v>
      </c>
      <c r="F27" s="16">
        <v>2.5135576999999998</v>
      </c>
      <c r="G27" s="14">
        <v>57.008276330000001</v>
      </c>
      <c r="H27" s="16">
        <v>2.5135576999999998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(3281/B28*100)</f>
        <v>86.273994215093353</v>
      </c>
      <c r="D28" s="15">
        <v>522</v>
      </c>
      <c r="E28" s="14">
        <v>53.04288305</v>
      </c>
      <c r="F28" s="16">
        <v>2.1003713500000001</v>
      </c>
      <c r="G28" s="14">
        <v>46.95711695</v>
      </c>
      <c r="H28" s="16">
        <v>2.1003713500000001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50.402464029999997</v>
      </c>
      <c r="F29" s="16">
        <v>2.4867476700000002</v>
      </c>
      <c r="G29" s="14">
        <v>49.597535970000003</v>
      </c>
      <c r="H29" s="16">
        <v>2.4867476700000002</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(1897/B30*100)</f>
        <v>84.049623393885682</v>
      </c>
      <c r="D30" s="15">
        <v>360</v>
      </c>
      <c r="E30" s="14">
        <v>34.568534569999997</v>
      </c>
      <c r="F30" s="16">
        <v>2.0822313700000001</v>
      </c>
      <c r="G30" s="14">
        <v>65.431465430000003</v>
      </c>
      <c r="H30" s="16">
        <v>2.0822313700000001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(2263/B31*100)</f>
        <v>83.628972653362894</v>
      </c>
      <c r="D31" s="15">
        <v>443</v>
      </c>
      <c r="E31" s="14">
        <v>41.477087869999998</v>
      </c>
      <c r="F31" s="16">
        <v>2.6131447900000002</v>
      </c>
      <c r="G31" s="14">
        <v>58.522912130000002</v>
      </c>
      <c r="H31" s="16">
        <v>2.6131447900000002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(3082/B33*100)</f>
        <v>84.415228704464525</v>
      </c>
      <c r="D33" s="15">
        <v>569</v>
      </c>
      <c r="E33" s="14">
        <v>38.526638169999998</v>
      </c>
      <c r="F33" s="16">
        <v>2.3370806100000001</v>
      </c>
      <c r="G33" s="14">
        <v>61.473361830000002</v>
      </c>
      <c r="H33" s="16">
        <v>2.3370806100000001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(2575/B34*100)</f>
        <v>84.843492586490939</v>
      </c>
      <c r="D34" s="15">
        <v>460</v>
      </c>
      <c r="E34" s="14">
        <v>34.20849089</v>
      </c>
      <c r="F34" s="16">
        <v>2.3276416700000002</v>
      </c>
      <c r="G34" s="14">
        <v>65.791509110000007</v>
      </c>
      <c r="H34" s="16">
        <v>2.3276416700000002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(2403/B35*100)</f>
        <v>82.833505687693901</v>
      </c>
      <c r="D35" s="15">
        <v>498</v>
      </c>
      <c r="E35" s="14">
        <v>22.874200739999999</v>
      </c>
      <c r="F35" s="16">
        <v>2.1315283900000002</v>
      </c>
      <c r="G35" s="14">
        <v>77.125799259999994</v>
      </c>
      <c r="H35" s="16">
        <v>2.1315283900000002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(2858/B36*100)</f>
        <v>83.960047003525261</v>
      </c>
      <c r="D36" s="15">
        <v>546</v>
      </c>
      <c r="E36" s="14">
        <v>40.05137612</v>
      </c>
      <c r="F36" s="16">
        <v>2.23399444</v>
      </c>
      <c r="G36" s="14">
        <v>59.94862388</v>
      </c>
      <c r="H36" s="16">
        <v>2.23399444</v>
      </c>
      <c r="I36" s="14" t="s">
        <v>139</v>
      </c>
      <c r="J36" s="16" t="s">
        <v>139</v>
      </c>
      <c r="K36" s="14">
        <v>0</v>
      </c>
      <c r="L36" s="16">
        <v>0</v>
      </c>
      <c r="M36" s="14">
        <v>0</v>
      </c>
      <c r="N36" s="16">
        <v>0</v>
      </c>
      <c r="O36" s="14">
        <v>0</v>
      </c>
      <c r="P36" s="16">
        <v>0</v>
      </c>
      <c r="Q36" s="14">
        <v>0</v>
      </c>
      <c r="R36" s="16">
        <v>0</v>
      </c>
    </row>
    <row r="37" spans="1:18" x14ac:dyDescent="0.25">
      <c r="A37" s="11" t="s">
        <v>170</v>
      </c>
      <c r="B37" s="13">
        <v>2731</v>
      </c>
      <c r="C37" s="14">
        <f>(2321/B37*100)</f>
        <v>84.98718418161846</v>
      </c>
      <c r="D37" s="15">
        <v>410</v>
      </c>
      <c r="E37" s="14">
        <v>46.139288800000003</v>
      </c>
      <c r="F37" s="16">
        <v>2.2794703100000002</v>
      </c>
      <c r="G37" s="14">
        <v>53.860711199999997</v>
      </c>
      <c r="H37" s="16">
        <v>2.2794703100000002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(2415/B39*100)</f>
        <v>82.198774676650785</v>
      </c>
      <c r="D39" s="15">
        <v>523</v>
      </c>
      <c r="E39" s="14">
        <v>56.823926970000002</v>
      </c>
      <c r="F39" s="16">
        <v>2.5222717700000001</v>
      </c>
      <c r="G39" s="14">
        <v>43.176073029999998</v>
      </c>
      <c r="H39" s="16">
        <v>2.5222717700000001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(5689/B40*100)</f>
        <v>82.187229124530475</v>
      </c>
      <c r="D40" s="15">
        <v>1233</v>
      </c>
      <c r="E40" s="14">
        <v>41.069478750000002</v>
      </c>
      <c r="F40" s="16">
        <v>2.0640456700000001</v>
      </c>
      <c r="G40" s="14">
        <v>58.930521249999998</v>
      </c>
      <c r="H40" s="16">
        <v>2.0640456700000001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(2389/B41*100)</f>
        <v>83.707077785564124</v>
      </c>
      <c r="D41" s="15">
        <v>465</v>
      </c>
      <c r="E41" s="14">
        <v>47.009379240000001</v>
      </c>
      <c r="F41" s="16">
        <v>2.3512929200000001</v>
      </c>
      <c r="G41" s="14">
        <v>52.990620759999999</v>
      </c>
      <c r="H41" s="16">
        <v>2.3512929200000001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83.692868392788796</v>
      </c>
      <c r="D42" s="15">
        <f>IF(COUNT(D7:D41) &gt; 0, AVERAGE(D7:D41), "—")</f>
        <v>591.4375</v>
      </c>
      <c r="E42" s="14">
        <f>IF(COUNT(E7:E41) &gt; 0, AVERAGE(E7:E41), "—")</f>
        <v>41.982632245937502</v>
      </c>
      <c r="F42" s="16">
        <f>IF(COUNT(F7:F41) &gt; 0, SQRT(SUMSQ(F7:F41)/(COUNT(F7:F41)*COUNT(F7:F41)) ), "—")</f>
        <v>0.40587265785716231</v>
      </c>
      <c r="G42" s="14">
        <f>IF(COUNT(G7:G41) &gt; 0, AVERAGE(G7:G41), "—")</f>
        <v>58.017367754062498</v>
      </c>
      <c r="H42" s="16">
        <f>IF(COUNT(H7:H41) &gt; 0, SQRT(SUMSQ(H7:H41)/(COUNT(H7:H41)*COUNT(H7:H41)) ), "—")</f>
        <v>0.40587265785716231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(10701/B46*100)</f>
        <v>88.635798890085312</v>
      </c>
      <c r="D46" s="15">
        <v>1372</v>
      </c>
      <c r="E46" s="14">
        <v>62.642530659999998</v>
      </c>
      <c r="F46" s="16">
        <v>2.1436407100000001</v>
      </c>
      <c r="G46" s="14">
        <v>37.357469340000002</v>
      </c>
      <c r="H46" s="16">
        <v>2.1436407100000001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(2388/B47*100)</f>
        <v>84.590860786397442</v>
      </c>
      <c r="D47" s="15">
        <v>435</v>
      </c>
      <c r="E47" s="14">
        <v>33.798266409999997</v>
      </c>
      <c r="F47" s="16">
        <v>2.5132658299999999</v>
      </c>
      <c r="G47" s="14">
        <v>66.201733590000003</v>
      </c>
      <c r="H47" s="16">
        <v>2.5132658299999999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(3866/B48*100)</f>
        <v>82.57155061939342</v>
      </c>
      <c r="D48" s="15">
        <v>816</v>
      </c>
      <c r="E48" s="14">
        <v>59.299332389999996</v>
      </c>
      <c r="F48" s="16">
        <v>2.1610072100000002</v>
      </c>
      <c r="G48" s="14">
        <v>40.700667610000004</v>
      </c>
      <c r="H48" s="16">
        <v>2.1610072100000002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(5222/B50*100)</f>
        <v>84.800259824618379</v>
      </c>
      <c r="D50" s="15">
        <v>936</v>
      </c>
      <c r="E50" s="14">
        <v>38.636191480000001</v>
      </c>
      <c r="F50" s="16">
        <v>1.76559003</v>
      </c>
      <c r="G50" s="14">
        <v>61.363808519999999</v>
      </c>
      <c r="H50" s="16">
        <v>1.76559003</v>
      </c>
      <c r="I50" s="14" t="s">
        <v>139</v>
      </c>
      <c r="J50" s="16" t="s">
        <v>139</v>
      </c>
      <c r="K50" s="14">
        <v>0</v>
      </c>
      <c r="L50" s="16">
        <v>0</v>
      </c>
      <c r="M50" s="14">
        <v>0</v>
      </c>
      <c r="N50" s="16">
        <v>0</v>
      </c>
      <c r="O50" s="14">
        <v>0</v>
      </c>
      <c r="P50" s="16">
        <v>0</v>
      </c>
      <c r="Q50" s="14">
        <v>0</v>
      </c>
      <c r="R50" s="16">
        <v>0</v>
      </c>
    </row>
    <row r="51" spans="1:18" x14ac:dyDescent="0.25">
      <c r="A51" s="11" t="s">
        <v>184</v>
      </c>
      <c r="B51" s="13">
        <v>3494</v>
      </c>
      <c r="C51" s="14">
        <f>(3022/B51*100)</f>
        <v>86.491127647395544</v>
      </c>
      <c r="D51" s="15">
        <v>472</v>
      </c>
      <c r="E51" s="14">
        <v>40.964044690000001</v>
      </c>
      <c r="F51" s="16">
        <v>2.6587646500000002</v>
      </c>
      <c r="G51" s="14">
        <v>59.035955309999999</v>
      </c>
      <c r="H51" s="16">
        <v>2.6587646500000002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(2509/B52*100)</f>
        <v>83.272485894457347</v>
      </c>
      <c r="D52" s="15">
        <v>504</v>
      </c>
      <c r="E52" s="14">
        <v>50.053042959999999</v>
      </c>
      <c r="F52" s="16">
        <v>2.2237719899999999</v>
      </c>
      <c r="G52" s="14">
        <v>49.946957040000001</v>
      </c>
      <c r="H52" s="16">
        <v>2.2237719899999999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(2292/B53*100)</f>
        <v>83.043478260869563</v>
      </c>
      <c r="D53" s="15">
        <v>468</v>
      </c>
      <c r="E53" s="14">
        <v>42.348432690000003</v>
      </c>
      <c r="F53" s="16">
        <v>2.0362228199999999</v>
      </c>
      <c r="G53" s="14">
        <v>57.651567309999997</v>
      </c>
      <c r="H53" s="16">
        <v>2.0362228199999999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(2206/B56*100)</f>
        <v>82.467289719626166</v>
      </c>
      <c r="D56" s="15">
        <v>469</v>
      </c>
      <c r="E56" s="14">
        <v>39.283108370000001</v>
      </c>
      <c r="F56" s="16">
        <v>2.28569515</v>
      </c>
      <c r="G56" s="14">
        <v>60.716891629999999</v>
      </c>
      <c r="H56" s="16">
        <v>2.28569515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(2668/B61*100)</f>
        <v>83.348953452046231</v>
      </c>
      <c r="D61" s="15">
        <v>533</v>
      </c>
      <c r="E61" s="14">
        <v>39.986154730000003</v>
      </c>
      <c r="F61" s="16">
        <v>2.0943494899999999</v>
      </c>
      <c r="G61" s="14">
        <v>60.013845269999997</v>
      </c>
      <c r="H61" s="16">
        <v>2.0943494899999999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32.262376709999998</v>
      </c>
      <c r="F62" s="16">
        <v>2.5517216600000001</v>
      </c>
      <c r="G62" s="14">
        <v>67.737623290000002</v>
      </c>
      <c r="H62" s="16">
        <v>2.5517216600000001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(2332/B66*100)</f>
        <v>84.157343919162756</v>
      </c>
      <c r="D66" s="15">
        <v>439</v>
      </c>
      <c r="E66" s="14">
        <v>51.638982499999997</v>
      </c>
      <c r="F66" s="16">
        <v>2.2848947399999999</v>
      </c>
      <c r="G66" s="14">
        <v>48.361017500000003</v>
      </c>
      <c r="H66" s="16">
        <v>2.2848947399999999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(2997/B67*100)</f>
        <v>86.618497109826592</v>
      </c>
      <c r="D67" s="15">
        <v>463</v>
      </c>
      <c r="E67" s="14">
        <v>37.87397867</v>
      </c>
      <c r="F67" s="16">
        <v>2.47136215</v>
      </c>
      <c r="G67" s="14">
        <v>62.12602133</v>
      </c>
      <c r="H67" s="16">
        <v>2.47136215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(2611/B70*100)</f>
        <v>84.036047634373986</v>
      </c>
      <c r="D70" s="15">
        <v>496</v>
      </c>
      <c r="E70" s="14">
        <v>27.38742319</v>
      </c>
      <c r="F70" s="16">
        <v>2.13396958</v>
      </c>
      <c r="G70" s="14">
        <v>72.612576809999993</v>
      </c>
      <c r="H70" s="16">
        <v>2.13396958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(3168/B72*100)</f>
        <v>82.953652788688132</v>
      </c>
      <c r="D72" s="15">
        <v>651</v>
      </c>
      <c r="E72" s="14">
        <v>79.775018079999995</v>
      </c>
      <c r="F72" s="16">
        <v>1.6249665900000001</v>
      </c>
      <c r="G72" s="14">
        <v>20.224981920000001</v>
      </c>
      <c r="H72" s="16">
        <v>1.6249665900000001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(3968/B73*100)</f>
        <v>85.29664660361135</v>
      </c>
      <c r="D73" s="15">
        <v>684</v>
      </c>
      <c r="E73" s="14">
        <v>41.552204580000001</v>
      </c>
      <c r="F73" s="16">
        <v>2.2621131999999999</v>
      </c>
      <c r="G73" s="14">
        <v>58.447795419999999</v>
      </c>
      <c r="H73" s="16">
        <v>2.2621131999999999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(2526/B75*100)</f>
        <v>85.079151229370154</v>
      </c>
      <c r="D75" s="15">
        <v>443</v>
      </c>
      <c r="E75" s="14">
        <v>68.318495389999995</v>
      </c>
      <c r="F75" s="16">
        <v>2.3354832700000001</v>
      </c>
      <c r="G75" s="14">
        <v>31.681504610000001</v>
      </c>
      <c r="H75" s="16">
        <v>2.3354832700000001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(5923/B76*100)</f>
        <v>83.246661981728749</v>
      </c>
      <c r="D76" s="15">
        <v>1192</v>
      </c>
      <c r="E76" s="14">
        <v>53.56701632</v>
      </c>
      <c r="F76" s="16">
        <v>1.6964769399999999</v>
      </c>
      <c r="G76" s="14">
        <v>46.43298368</v>
      </c>
      <c r="H76" s="16">
        <v>1.6964769399999999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(2663/B77*100)</f>
        <v>84.432466708941021</v>
      </c>
      <c r="D77" s="15">
        <v>491</v>
      </c>
      <c r="E77" s="14">
        <v>44.39949575</v>
      </c>
      <c r="F77" s="16">
        <v>1.9783091799999999</v>
      </c>
      <c r="G77" s="14">
        <v>55.60050425</v>
      </c>
      <c r="H77" s="16">
        <v>1.9783091799999999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(3902/B81*100)</f>
        <v>83.056619838229025</v>
      </c>
      <c r="D81" s="15">
        <v>796</v>
      </c>
      <c r="E81" s="14">
        <v>54.158002320000001</v>
      </c>
      <c r="F81" s="16">
        <v>2.4747009100000001</v>
      </c>
      <c r="G81" s="14">
        <v>45.841997679999999</v>
      </c>
      <c r="H81" s="16">
        <v>2.4747009100000001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(6012/B7*100)</f>
        <v>83.931313695379032</v>
      </c>
      <c r="D7" s="15">
        <v>1151</v>
      </c>
      <c r="E7" s="14">
        <v>76.076027620000005</v>
      </c>
      <c r="F7" s="16">
        <v>1.44760066</v>
      </c>
      <c r="G7" s="14">
        <v>23.923972379999999</v>
      </c>
      <c r="H7" s="16">
        <v>1.44760066</v>
      </c>
      <c r="I7" s="14" t="s">
        <v>139</v>
      </c>
      <c r="J7" s="16" t="s">
        <v>139</v>
      </c>
      <c r="K7" s="14">
        <v>0</v>
      </c>
      <c r="L7" s="16">
        <v>0</v>
      </c>
      <c r="M7" s="14">
        <v>0</v>
      </c>
      <c r="N7" s="16">
        <v>0</v>
      </c>
      <c r="O7" s="14">
        <v>0</v>
      </c>
      <c r="P7" s="16">
        <v>0</v>
      </c>
      <c r="Q7" s="14">
        <v>0</v>
      </c>
      <c r="R7" s="16">
        <v>0</v>
      </c>
    </row>
    <row r="8" spans="1:18" x14ac:dyDescent="0.25">
      <c r="A8" s="11" t="s">
        <v>140</v>
      </c>
      <c r="B8" s="13">
        <v>3443</v>
      </c>
      <c r="C8" s="14">
        <f>(2881/B8*100)</f>
        <v>83.677025849549807</v>
      </c>
      <c r="D8" s="15">
        <v>562</v>
      </c>
      <c r="E8" s="14">
        <v>73.754907799999998</v>
      </c>
      <c r="F8" s="16">
        <v>1.9914499999999999</v>
      </c>
      <c r="G8" s="14">
        <v>26.245092199999998</v>
      </c>
      <c r="H8" s="16">
        <v>1.9914499999999999</v>
      </c>
      <c r="I8" s="14" t="s">
        <v>139</v>
      </c>
      <c r="J8" s="16" t="s">
        <v>139</v>
      </c>
      <c r="K8" s="14">
        <v>0</v>
      </c>
      <c r="L8" s="16">
        <v>0</v>
      </c>
      <c r="M8" s="14">
        <v>0</v>
      </c>
      <c r="N8" s="16">
        <v>0</v>
      </c>
      <c r="O8" s="14">
        <v>0</v>
      </c>
      <c r="P8" s="16">
        <v>0</v>
      </c>
      <c r="Q8" s="14">
        <v>0</v>
      </c>
      <c r="R8" s="16">
        <v>0</v>
      </c>
    </row>
    <row r="9" spans="1:18" x14ac:dyDescent="0.25">
      <c r="A9" s="11" t="s">
        <v>141</v>
      </c>
      <c r="B9" s="13">
        <v>4752</v>
      </c>
      <c r="C9" s="14">
        <f>(3969/B9*100)</f>
        <v>83.522727272727266</v>
      </c>
      <c r="D9" s="15">
        <v>783</v>
      </c>
      <c r="E9" s="14">
        <v>77.482316589999996</v>
      </c>
      <c r="F9" s="16">
        <v>1.4859692200000001</v>
      </c>
      <c r="G9" s="14">
        <v>22.51768341</v>
      </c>
      <c r="H9" s="16">
        <v>1.4859692200000001</v>
      </c>
      <c r="I9" s="14" t="s">
        <v>139</v>
      </c>
      <c r="J9" s="16" t="s">
        <v>139</v>
      </c>
      <c r="K9" s="14">
        <v>0</v>
      </c>
      <c r="L9" s="16">
        <v>0</v>
      </c>
      <c r="M9" s="14">
        <v>0</v>
      </c>
      <c r="N9" s="16">
        <v>0</v>
      </c>
      <c r="O9" s="14">
        <v>0</v>
      </c>
      <c r="P9" s="16">
        <v>0</v>
      </c>
      <c r="Q9" s="14">
        <v>0</v>
      </c>
      <c r="R9" s="16">
        <v>0</v>
      </c>
    </row>
    <row r="10" spans="1:18" x14ac:dyDescent="0.25">
      <c r="A10" s="11" t="s">
        <v>142</v>
      </c>
      <c r="B10" s="13">
        <v>10022</v>
      </c>
      <c r="C10" s="14">
        <f>(8304/B10*100)</f>
        <v>82.857713031331073</v>
      </c>
      <c r="D10" s="15">
        <v>1718</v>
      </c>
      <c r="E10" s="14">
        <v>74.235423139999995</v>
      </c>
      <c r="F10" s="16">
        <v>1.3932778800000001</v>
      </c>
      <c r="G10" s="14">
        <v>25.764576859999998</v>
      </c>
      <c r="H10" s="16">
        <v>1.3932778800000001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(2938/B11*100)</f>
        <v>83.942857142857136</v>
      </c>
      <c r="D11" s="15">
        <v>562</v>
      </c>
      <c r="E11" s="14">
        <v>72.703338869999996</v>
      </c>
      <c r="F11" s="16">
        <v>2.2008774500000001</v>
      </c>
      <c r="G11" s="14">
        <v>27.29666113</v>
      </c>
      <c r="H11" s="16">
        <v>2.2008774500000001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(2871/B12*100)</f>
        <v>83.898305084745758</v>
      </c>
      <c r="D12" s="15">
        <v>551</v>
      </c>
      <c r="E12" s="14">
        <v>78.881648290000001</v>
      </c>
      <c r="F12" s="16">
        <v>2.1811931200000001</v>
      </c>
      <c r="G12" s="14">
        <v>21.118351709999999</v>
      </c>
      <c r="H12" s="16">
        <v>2.1811931200000001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(3033/B13*100)</f>
        <v>84.203220433092724</v>
      </c>
      <c r="D13" s="15">
        <v>569</v>
      </c>
      <c r="E13" s="14">
        <v>81.493043889999996</v>
      </c>
      <c r="F13" s="16">
        <v>1.7337662599999999</v>
      </c>
      <c r="G13" s="14">
        <v>18.506956110000001</v>
      </c>
      <c r="H13" s="16">
        <v>1.7337662599999999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(2322/B14*100)</f>
        <v>83.285509325681488</v>
      </c>
      <c r="D14" s="15">
        <v>466</v>
      </c>
      <c r="E14" s="14">
        <v>65.128804389999999</v>
      </c>
      <c r="F14" s="16">
        <v>2.2566615900000002</v>
      </c>
      <c r="G14" s="14">
        <v>34.871195610000001</v>
      </c>
      <c r="H14" s="16">
        <v>2.2566615900000002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73.058350129999994</v>
      </c>
      <c r="F15" s="16">
        <v>2.1047850000000001</v>
      </c>
      <c r="G15" s="14">
        <v>26.941649869999999</v>
      </c>
      <c r="H15" s="16">
        <v>2.1047850000000001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(2585/B16*100)</f>
        <v>83.092253294760525</v>
      </c>
      <c r="D16" s="15">
        <v>526</v>
      </c>
      <c r="E16" s="14">
        <v>77.611769659999993</v>
      </c>
      <c r="F16" s="16">
        <v>1.81633227</v>
      </c>
      <c r="G16" s="14">
        <v>22.38823034</v>
      </c>
      <c r="H16" s="16">
        <v>1.81633227</v>
      </c>
      <c r="I16" s="14" t="s">
        <v>139</v>
      </c>
      <c r="J16" s="16" t="s">
        <v>139</v>
      </c>
      <c r="K16" s="14">
        <v>0</v>
      </c>
      <c r="L16" s="16">
        <v>0</v>
      </c>
      <c r="M16" s="14">
        <v>0</v>
      </c>
      <c r="N16" s="16">
        <v>0</v>
      </c>
      <c r="O16" s="14">
        <v>0</v>
      </c>
      <c r="P16" s="16">
        <v>0</v>
      </c>
      <c r="Q16" s="14">
        <v>0</v>
      </c>
      <c r="R16" s="16">
        <v>0</v>
      </c>
    </row>
    <row r="17" spans="1:18" x14ac:dyDescent="0.25">
      <c r="A17" s="11" t="s">
        <v>149</v>
      </c>
      <c r="B17" s="13">
        <v>3197</v>
      </c>
      <c r="C17" s="14">
        <f>(2666/B17*100)</f>
        <v>83.390678761338748</v>
      </c>
      <c r="D17" s="15">
        <v>531</v>
      </c>
      <c r="E17" s="14">
        <v>70.52684146</v>
      </c>
      <c r="F17" s="16">
        <v>2.1364140699999998</v>
      </c>
      <c r="G17" s="14">
        <v>29.47315854</v>
      </c>
      <c r="H17" s="16">
        <v>2.1364140699999998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(2241/B18*100)</f>
        <v>82.815964523281593</v>
      </c>
      <c r="D18" s="15">
        <v>465</v>
      </c>
      <c r="E18" s="14">
        <v>73.20306807</v>
      </c>
      <c r="F18" s="16">
        <v>2.0911785100000002</v>
      </c>
      <c r="G18" s="14">
        <v>26.79693193</v>
      </c>
      <c r="H18" s="16">
        <v>2.0911785100000002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(2391/B19*100)</f>
        <v>83.89473684210526</v>
      </c>
      <c r="D19" s="15">
        <v>459</v>
      </c>
      <c r="E19" s="14">
        <v>73.575302870000002</v>
      </c>
      <c r="F19" s="16">
        <v>2.6269318099999999</v>
      </c>
      <c r="G19" s="14">
        <v>26.424697129999998</v>
      </c>
      <c r="H19" s="16">
        <v>2.6269318099999999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(1461/B20*100)</f>
        <v>83.917288914417</v>
      </c>
      <c r="D20" s="15">
        <v>280</v>
      </c>
      <c r="E20" s="14">
        <v>74.530417600000007</v>
      </c>
      <c r="F20" s="16">
        <v>2.8280947799999998</v>
      </c>
      <c r="G20" s="14">
        <v>25.4695824</v>
      </c>
      <c r="H20" s="16">
        <v>2.8280947799999998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(3139/B22*100)</f>
        <v>85.601308971911649</v>
      </c>
      <c r="D22" s="15">
        <v>528</v>
      </c>
      <c r="E22" s="14">
        <v>72.794151279999994</v>
      </c>
      <c r="F22" s="16">
        <v>1.90585326</v>
      </c>
      <c r="G22" s="14">
        <v>27.205848719999999</v>
      </c>
      <c r="H22" s="16">
        <v>1.90585326</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(4827/B23*100)</f>
        <v>83.33908839779005</v>
      </c>
      <c r="D23" s="15">
        <v>965</v>
      </c>
      <c r="E23" s="14">
        <v>78.822789409999999</v>
      </c>
      <c r="F23" s="16">
        <v>1.5659583500000001</v>
      </c>
      <c r="G23" s="14">
        <v>21.177210590000001</v>
      </c>
      <c r="H23" s="16">
        <v>1.5659583500000001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(2750/B24*100)</f>
        <v>83.106678754910845</v>
      </c>
      <c r="D24" s="15">
        <v>559</v>
      </c>
      <c r="E24" s="14">
        <v>77.712406610000002</v>
      </c>
      <c r="F24" s="16">
        <v>2.0216520199999999</v>
      </c>
      <c r="G24" s="14">
        <v>22.287593390000001</v>
      </c>
      <c r="H24" s="16">
        <v>2.0216520199999999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68.381607419999995</v>
      </c>
      <c r="F25" s="16">
        <v>2.3009744599999999</v>
      </c>
      <c r="G25" s="14">
        <v>31.618392579999998</v>
      </c>
      <c r="H25" s="16">
        <v>2.3009744599999999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(2004/B26*100)</f>
        <v>82.844150475403055</v>
      </c>
      <c r="D26" s="15">
        <v>415</v>
      </c>
      <c r="E26" s="14">
        <v>68.603500519999997</v>
      </c>
      <c r="F26" s="16">
        <v>2.8324657599999998</v>
      </c>
      <c r="G26" s="14">
        <v>31.396499479999999</v>
      </c>
      <c r="H26" s="16">
        <v>2.8324657599999998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(2258/B27*100)</f>
        <v>84.159522922102127</v>
      </c>
      <c r="D27" s="15">
        <v>425</v>
      </c>
      <c r="E27" s="14">
        <v>81.707408740000005</v>
      </c>
      <c r="F27" s="16">
        <v>1.92695426</v>
      </c>
      <c r="G27" s="14">
        <v>18.292591259999998</v>
      </c>
      <c r="H27" s="16">
        <v>1.92695426</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(3281/B28*100)</f>
        <v>86.273994215093353</v>
      </c>
      <c r="D28" s="15">
        <v>522</v>
      </c>
      <c r="E28" s="14">
        <v>73.228858360000004</v>
      </c>
      <c r="F28" s="16">
        <v>2.43994176</v>
      </c>
      <c r="G28" s="14">
        <v>26.77114164</v>
      </c>
      <c r="H28" s="16">
        <v>2.43994176</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81.411071719999995</v>
      </c>
      <c r="F29" s="16">
        <v>1.9503600000000001</v>
      </c>
      <c r="G29" s="14">
        <v>18.588928280000001</v>
      </c>
      <c r="H29" s="16">
        <v>1.9503600000000001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(1897/B30*100)</f>
        <v>84.049623393885682</v>
      </c>
      <c r="D30" s="15">
        <v>360</v>
      </c>
      <c r="E30" s="14">
        <v>78.360762559999998</v>
      </c>
      <c r="F30" s="16">
        <v>2.1830849300000001</v>
      </c>
      <c r="G30" s="14">
        <v>21.639237439999999</v>
      </c>
      <c r="H30" s="16">
        <v>2.1830849300000001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(2263/B31*100)</f>
        <v>83.628972653362894</v>
      </c>
      <c r="D31" s="15">
        <v>443</v>
      </c>
      <c r="E31" s="14">
        <v>80.164014129999998</v>
      </c>
      <c r="F31" s="16">
        <v>2.0302277100000001</v>
      </c>
      <c r="G31" s="14">
        <v>19.835985869999998</v>
      </c>
      <c r="H31" s="16">
        <v>2.0302277100000001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(3082/B33*100)</f>
        <v>84.415228704464525</v>
      </c>
      <c r="D33" s="15">
        <v>569</v>
      </c>
      <c r="E33" s="14">
        <v>74.63768091</v>
      </c>
      <c r="F33" s="16">
        <v>1.85445186</v>
      </c>
      <c r="G33" s="14">
        <v>25.36231909</v>
      </c>
      <c r="H33" s="16">
        <v>1.85445186</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(2575/B34*100)</f>
        <v>84.843492586490939</v>
      </c>
      <c r="D34" s="15">
        <v>460</v>
      </c>
      <c r="E34" s="14">
        <v>80.800024500000006</v>
      </c>
      <c r="F34" s="16">
        <v>1.9815385700000001</v>
      </c>
      <c r="G34" s="14">
        <v>19.199975500000001</v>
      </c>
      <c r="H34" s="16">
        <v>1.9815385700000001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(2403/B35*100)</f>
        <v>82.833505687693901</v>
      </c>
      <c r="D35" s="15">
        <v>498</v>
      </c>
      <c r="E35" s="14">
        <v>73.731703049999993</v>
      </c>
      <c r="F35" s="16">
        <v>2.6148746799999998</v>
      </c>
      <c r="G35" s="14">
        <v>26.26829695</v>
      </c>
      <c r="H35" s="16">
        <v>2.6148746799999998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(2858/B36*100)</f>
        <v>83.960047003525261</v>
      </c>
      <c r="D36" s="15">
        <v>546</v>
      </c>
      <c r="E36" s="14">
        <v>75.375458129999998</v>
      </c>
      <c r="F36" s="16">
        <v>2.2338919599999998</v>
      </c>
      <c r="G36" s="14">
        <v>24.624541870000002</v>
      </c>
      <c r="H36" s="16">
        <v>2.2338919599999998</v>
      </c>
      <c r="I36" s="14" t="s">
        <v>139</v>
      </c>
      <c r="J36" s="16" t="s">
        <v>139</v>
      </c>
      <c r="K36" s="14">
        <v>0</v>
      </c>
      <c r="L36" s="16">
        <v>0</v>
      </c>
      <c r="M36" s="14">
        <v>0</v>
      </c>
      <c r="N36" s="16">
        <v>0</v>
      </c>
      <c r="O36" s="14">
        <v>0</v>
      </c>
      <c r="P36" s="16">
        <v>0</v>
      </c>
      <c r="Q36" s="14">
        <v>0</v>
      </c>
      <c r="R36" s="16">
        <v>0</v>
      </c>
    </row>
    <row r="37" spans="1:18" x14ac:dyDescent="0.25">
      <c r="A37" s="11" t="s">
        <v>170</v>
      </c>
      <c r="B37" s="13">
        <v>2731</v>
      </c>
      <c r="C37" s="14">
        <f>(2321/B37*100)</f>
        <v>84.98718418161846</v>
      </c>
      <c r="D37" s="15">
        <v>410</v>
      </c>
      <c r="E37" s="14">
        <v>84.618957679999994</v>
      </c>
      <c r="F37" s="16">
        <v>1.90170489</v>
      </c>
      <c r="G37" s="14">
        <v>15.381042320000001</v>
      </c>
      <c r="H37" s="16">
        <v>1.90170489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(2415/B39*100)</f>
        <v>82.198774676650785</v>
      </c>
      <c r="D39" s="15">
        <v>523</v>
      </c>
      <c r="E39" s="14">
        <v>82.209681840000002</v>
      </c>
      <c r="F39" s="16">
        <v>1.6519269299999999</v>
      </c>
      <c r="G39" s="14">
        <v>17.790318160000002</v>
      </c>
      <c r="H39" s="16">
        <v>1.6519269299999999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(5689/B40*100)</f>
        <v>82.187229124530475</v>
      </c>
      <c r="D40" s="15">
        <v>1233</v>
      </c>
      <c r="E40" s="14">
        <v>70.755983729999997</v>
      </c>
      <c r="F40" s="16">
        <v>2.17577496</v>
      </c>
      <c r="G40" s="14">
        <v>29.244016269999999</v>
      </c>
      <c r="H40" s="16">
        <v>2.17577496</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(2389/B41*100)</f>
        <v>83.707077785564124</v>
      </c>
      <c r="D41" s="15">
        <v>465</v>
      </c>
      <c r="E41" s="14">
        <v>73.454303300000007</v>
      </c>
      <c r="F41" s="16">
        <v>2.3056067200000001</v>
      </c>
      <c r="G41" s="14">
        <v>26.545696700000001</v>
      </c>
      <c r="H41" s="16">
        <v>2.3056067200000001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83.692868392788796</v>
      </c>
      <c r="D42" s="15">
        <f>IF(COUNT(D7:D41) &gt; 0, AVERAGE(D7:D41), "—")</f>
        <v>591.4375</v>
      </c>
      <c r="E42" s="14">
        <f>IF(COUNT(E7:E41) &gt; 0, AVERAGE(E7:E41), "—")</f>
        <v>75.594738258437502</v>
      </c>
      <c r="F42" s="16">
        <f>IF(COUNT(F7:F41) &gt; 0, SQRT(SUMSQ(F7:F41)/(COUNT(F7:F41)*COUNT(F7:F41)) ), "—")</f>
        <v>0.37095674628623054</v>
      </c>
      <c r="G42" s="14">
        <f>IF(COUNT(G7:G41) &gt; 0, AVERAGE(G7:G41), "—")</f>
        <v>24.405261741562501</v>
      </c>
      <c r="H42" s="16">
        <f>IF(COUNT(H7:H41) &gt; 0, SQRT(SUMSQ(H7:H41)/(COUNT(H7:H41)*COUNT(H7:H41)) ), "—")</f>
        <v>0.37095674628623054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(10701/B46*100)</f>
        <v>88.635798890085312</v>
      </c>
      <c r="D46" s="15">
        <v>1372</v>
      </c>
      <c r="E46" s="14">
        <v>77.797465750000001</v>
      </c>
      <c r="F46" s="16">
        <v>1.7797663500000001</v>
      </c>
      <c r="G46" s="14">
        <v>22.202534249999999</v>
      </c>
      <c r="H46" s="16">
        <v>1.7797663500000001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(2388/B47*100)</f>
        <v>84.590860786397442</v>
      </c>
      <c r="D47" s="15">
        <v>435</v>
      </c>
      <c r="E47" s="14">
        <v>77.239922849999999</v>
      </c>
      <c r="F47" s="16">
        <v>2.24889793</v>
      </c>
      <c r="G47" s="14">
        <v>22.760077150000001</v>
      </c>
      <c r="H47" s="16">
        <v>2.24889793</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(3866/B48*100)</f>
        <v>82.57155061939342</v>
      </c>
      <c r="D48" s="15">
        <v>816</v>
      </c>
      <c r="E48" s="14">
        <v>75.101105590000003</v>
      </c>
      <c r="F48" s="16">
        <v>1.58408477</v>
      </c>
      <c r="G48" s="14">
        <v>24.89889441</v>
      </c>
      <c r="H48" s="16">
        <v>1.58408477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(5222/B50*100)</f>
        <v>84.800259824618379</v>
      </c>
      <c r="D50" s="15">
        <v>936</v>
      </c>
      <c r="E50" s="14">
        <v>80.35984852</v>
      </c>
      <c r="F50" s="16">
        <v>1.6594546299999999</v>
      </c>
      <c r="G50" s="14">
        <v>19.64015148</v>
      </c>
      <c r="H50" s="16">
        <v>1.6594546299999999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(3022/B51*100)</f>
        <v>86.491127647395544</v>
      </c>
      <c r="D51" s="15">
        <v>472</v>
      </c>
      <c r="E51" s="14">
        <v>82.442394800000002</v>
      </c>
      <c r="F51" s="16">
        <v>2.0208475699999999</v>
      </c>
      <c r="G51" s="14">
        <v>17.557605200000001</v>
      </c>
      <c r="H51" s="16">
        <v>2.0208475699999999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(2509/B52*100)</f>
        <v>83.272485894457347</v>
      </c>
      <c r="D52" s="15">
        <v>504</v>
      </c>
      <c r="E52" s="14">
        <v>75.567868509999997</v>
      </c>
      <c r="F52" s="16">
        <v>1.7786299000000001</v>
      </c>
      <c r="G52" s="14">
        <v>24.43213149</v>
      </c>
      <c r="H52" s="16">
        <v>1.7786299000000001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(2292/B53*100)</f>
        <v>83.043478260869563</v>
      </c>
      <c r="D53" s="15">
        <v>468</v>
      </c>
      <c r="E53" s="14">
        <v>74.837100620000001</v>
      </c>
      <c r="F53" s="16">
        <v>2.0060279099999998</v>
      </c>
      <c r="G53" s="14">
        <v>25.162899379999999</v>
      </c>
      <c r="H53" s="16">
        <v>2.0060279099999998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(2206/B56*100)</f>
        <v>82.467289719626166</v>
      </c>
      <c r="D56" s="15">
        <v>469</v>
      </c>
      <c r="E56" s="14">
        <v>65.867000039999994</v>
      </c>
      <c r="F56" s="16">
        <v>2.1328243200000001</v>
      </c>
      <c r="G56" s="14">
        <v>34.132999959999999</v>
      </c>
      <c r="H56" s="16">
        <v>2.1328243200000001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(2668/B61*100)</f>
        <v>83.348953452046231</v>
      </c>
      <c r="D61" s="15">
        <v>533</v>
      </c>
      <c r="E61" s="14">
        <v>74.792715869999995</v>
      </c>
      <c r="F61" s="16">
        <v>2.0258218100000001</v>
      </c>
      <c r="G61" s="14">
        <v>25.207284130000001</v>
      </c>
      <c r="H61" s="16">
        <v>2.0258218100000001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70.564535419999999</v>
      </c>
      <c r="F62" s="16">
        <v>2.2742794000000002</v>
      </c>
      <c r="G62" s="14">
        <v>29.435464580000001</v>
      </c>
      <c r="H62" s="16">
        <v>2.2742794000000002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(2332/B66*100)</f>
        <v>84.157343919162756</v>
      </c>
      <c r="D66" s="15">
        <v>439</v>
      </c>
      <c r="E66" s="14">
        <v>81.987009520000001</v>
      </c>
      <c r="F66" s="16">
        <v>1.77880174</v>
      </c>
      <c r="G66" s="14">
        <v>18.012990479999999</v>
      </c>
      <c r="H66" s="16">
        <v>1.77880174</v>
      </c>
      <c r="I66" s="14" t="s">
        <v>139</v>
      </c>
      <c r="J66" s="16" t="s">
        <v>139</v>
      </c>
      <c r="K66" s="14">
        <v>0</v>
      </c>
      <c r="L66" s="16">
        <v>0</v>
      </c>
      <c r="M66" s="14">
        <v>0</v>
      </c>
      <c r="N66" s="16">
        <v>0</v>
      </c>
      <c r="O66" s="14">
        <v>0</v>
      </c>
      <c r="P66" s="16">
        <v>0</v>
      </c>
      <c r="Q66" s="14">
        <v>0</v>
      </c>
      <c r="R66" s="16">
        <v>0</v>
      </c>
    </row>
    <row r="67" spans="1:18" x14ac:dyDescent="0.25">
      <c r="A67" s="11" t="s">
        <v>200</v>
      </c>
      <c r="B67" s="13">
        <v>3460</v>
      </c>
      <c r="C67" s="14">
        <f>(2997/B67*100)</f>
        <v>86.618497109826592</v>
      </c>
      <c r="D67" s="15">
        <v>463</v>
      </c>
      <c r="E67" s="14">
        <v>77.823436959999995</v>
      </c>
      <c r="F67" s="16">
        <v>1.72411691</v>
      </c>
      <c r="G67" s="14">
        <v>22.176563040000001</v>
      </c>
      <c r="H67" s="16">
        <v>1.72411691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(2611/B70*100)</f>
        <v>84.036047634373986</v>
      </c>
      <c r="D70" s="15">
        <v>496</v>
      </c>
      <c r="E70" s="14">
        <v>82.611769370000005</v>
      </c>
      <c r="F70" s="16">
        <v>1.8151554599999999</v>
      </c>
      <c r="G70" s="14">
        <v>17.388230629999999</v>
      </c>
      <c r="H70" s="16">
        <v>1.8151554599999999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(3168/B72*100)</f>
        <v>82.953652788688132</v>
      </c>
      <c r="D72" s="15">
        <v>651</v>
      </c>
      <c r="E72" s="14">
        <v>69.986531670000005</v>
      </c>
      <c r="F72" s="16">
        <v>1.8915657100000001</v>
      </c>
      <c r="G72" s="14">
        <v>30.013468329999998</v>
      </c>
      <c r="H72" s="16">
        <v>1.8915657100000001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(3968/B73*100)</f>
        <v>85.29664660361135</v>
      </c>
      <c r="D73" s="15">
        <v>684</v>
      </c>
      <c r="E73" s="14">
        <v>62.58884759</v>
      </c>
      <c r="F73" s="16">
        <v>2.1865424899999999</v>
      </c>
      <c r="G73" s="14">
        <v>37.41115241</v>
      </c>
      <c r="H73" s="16">
        <v>2.1865424899999999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(2526/B75*100)</f>
        <v>85.079151229370154</v>
      </c>
      <c r="D75" s="15">
        <v>443</v>
      </c>
      <c r="E75" s="14">
        <v>70.949338890000007</v>
      </c>
      <c r="F75" s="16">
        <v>2.1809227500000001</v>
      </c>
      <c r="G75" s="14">
        <v>29.05066111</v>
      </c>
      <c r="H75" s="16">
        <v>2.1809227500000001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(5923/B76*100)</f>
        <v>83.246661981728749</v>
      </c>
      <c r="D76" s="15">
        <v>1192</v>
      </c>
      <c r="E76" s="14">
        <v>77.128215010000005</v>
      </c>
      <c r="F76" s="16">
        <v>1.7237876299999999</v>
      </c>
      <c r="G76" s="14">
        <v>22.871784989999998</v>
      </c>
      <c r="H76" s="16">
        <v>1.7237876299999999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(2663/B77*100)</f>
        <v>84.432466708941021</v>
      </c>
      <c r="D77" s="15">
        <v>491</v>
      </c>
      <c r="E77" s="14">
        <v>76.01408533</v>
      </c>
      <c r="F77" s="16">
        <v>1.9898499300000001</v>
      </c>
      <c r="G77" s="14">
        <v>23.98591467</v>
      </c>
      <c r="H77" s="16">
        <v>1.9898499300000001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(3902/B81*100)</f>
        <v>83.056619838229025</v>
      </c>
      <c r="D81" s="15">
        <v>796</v>
      </c>
      <c r="E81" s="14">
        <v>66.104442349999999</v>
      </c>
      <c r="F81" s="16">
        <v>1.8800958000000001</v>
      </c>
      <c r="G81" s="14">
        <v>33.895557650000001</v>
      </c>
      <c r="H81" s="16">
        <v>1.8800958000000001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(6012/B7*100)</f>
        <v>83.931313695379032</v>
      </c>
      <c r="D7" s="15">
        <v>1151</v>
      </c>
      <c r="E7" s="14">
        <v>47.532693119999998</v>
      </c>
      <c r="F7" s="16">
        <v>1.7362104700000001</v>
      </c>
      <c r="G7" s="14">
        <v>52.467306880000002</v>
      </c>
      <c r="H7" s="16">
        <v>1.7362104700000001</v>
      </c>
      <c r="I7" s="14" t="s">
        <v>139</v>
      </c>
      <c r="J7" s="16" t="s">
        <v>139</v>
      </c>
      <c r="K7" s="14">
        <v>0</v>
      </c>
      <c r="L7" s="16">
        <v>0</v>
      </c>
      <c r="M7" s="14">
        <v>0</v>
      </c>
      <c r="N7" s="16">
        <v>0</v>
      </c>
      <c r="O7" s="14">
        <v>0</v>
      </c>
      <c r="P7" s="16">
        <v>0</v>
      </c>
      <c r="Q7" s="14">
        <v>0</v>
      </c>
      <c r="R7" s="16">
        <v>0</v>
      </c>
    </row>
    <row r="8" spans="1:18" x14ac:dyDescent="0.25">
      <c r="A8" s="11" t="s">
        <v>140</v>
      </c>
      <c r="B8" s="13">
        <v>3443</v>
      </c>
      <c r="C8" s="14">
        <f>(2881/B8*100)</f>
        <v>83.677025849549807</v>
      </c>
      <c r="D8" s="15">
        <v>562</v>
      </c>
      <c r="E8" s="14">
        <v>58.413511739999997</v>
      </c>
      <c r="F8" s="16">
        <v>2.4194414599999998</v>
      </c>
      <c r="G8" s="14">
        <v>41.586488260000003</v>
      </c>
      <c r="H8" s="16">
        <v>2.4194414599999998</v>
      </c>
      <c r="I8" s="14" t="s">
        <v>139</v>
      </c>
      <c r="J8" s="16" t="s">
        <v>139</v>
      </c>
      <c r="K8" s="14">
        <v>0</v>
      </c>
      <c r="L8" s="16">
        <v>0</v>
      </c>
      <c r="M8" s="14">
        <v>0</v>
      </c>
      <c r="N8" s="16">
        <v>0</v>
      </c>
      <c r="O8" s="14">
        <v>0</v>
      </c>
      <c r="P8" s="16">
        <v>0</v>
      </c>
      <c r="Q8" s="14">
        <v>0</v>
      </c>
      <c r="R8" s="16">
        <v>0</v>
      </c>
    </row>
    <row r="9" spans="1:18" x14ac:dyDescent="0.25">
      <c r="A9" s="11" t="s">
        <v>141</v>
      </c>
      <c r="B9" s="13">
        <v>4752</v>
      </c>
      <c r="C9" s="14">
        <f>(3969/B9*100)</f>
        <v>83.522727272727266</v>
      </c>
      <c r="D9" s="15">
        <v>783</v>
      </c>
      <c r="E9" s="14">
        <v>65.652491949999998</v>
      </c>
      <c r="F9" s="16">
        <v>1.6057143599999999</v>
      </c>
      <c r="G9" s="14">
        <v>34.347508050000002</v>
      </c>
      <c r="H9" s="16">
        <v>1.6057143599999999</v>
      </c>
      <c r="I9" s="14" t="s">
        <v>139</v>
      </c>
      <c r="J9" s="16" t="s">
        <v>139</v>
      </c>
      <c r="K9" s="14">
        <v>0</v>
      </c>
      <c r="L9" s="16">
        <v>0</v>
      </c>
      <c r="M9" s="14">
        <v>0</v>
      </c>
      <c r="N9" s="16">
        <v>0</v>
      </c>
      <c r="O9" s="14">
        <v>0</v>
      </c>
      <c r="P9" s="16">
        <v>0</v>
      </c>
      <c r="Q9" s="14">
        <v>0</v>
      </c>
      <c r="R9" s="16">
        <v>0</v>
      </c>
    </row>
    <row r="10" spans="1:18" x14ac:dyDescent="0.25">
      <c r="A10" s="11" t="s">
        <v>142</v>
      </c>
      <c r="B10" s="13">
        <v>10022</v>
      </c>
      <c r="C10" s="14">
        <f>(8304/B10*100)</f>
        <v>82.857713031331073</v>
      </c>
      <c r="D10" s="15">
        <v>1718</v>
      </c>
      <c r="E10" s="14">
        <v>47.68228474</v>
      </c>
      <c r="F10" s="16">
        <v>1.58299627</v>
      </c>
      <c r="G10" s="14">
        <v>52.31771526</v>
      </c>
      <c r="H10" s="16">
        <v>1.58299627</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(2938/B11*100)</f>
        <v>83.942857142857136</v>
      </c>
      <c r="D11" s="15">
        <v>562</v>
      </c>
      <c r="E11" s="14">
        <v>71.643119100000007</v>
      </c>
      <c r="F11" s="16">
        <v>2.0572942599999999</v>
      </c>
      <c r="G11" s="14">
        <v>28.3568809</v>
      </c>
      <c r="H11" s="16">
        <v>2.0572942599999999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(2871/B12*100)</f>
        <v>83.898305084745758</v>
      </c>
      <c r="D12" s="15">
        <v>551</v>
      </c>
      <c r="E12" s="14">
        <v>69.408610550000006</v>
      </c>
      <c r="F12" s="16">
        <v>2.1383018800000002</v>
      </c>
      <c r="G12" s="14">
        <v>30.591389450000001</v>
      </c>
      <c r="H12" s="16">
        <v>2.1383018800000002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(3033/B13*100)</f>
        <v>84.203220433092724</v>
      </c>
      <c r="D13" s="15">
        <v>569</v>
      </c>
      <c r="E13" s="14">
        <v>51.757767569999999</v>
      </c>
      <c r="F13" s="16">
        <v>2.2533840399999998</v>
      </c>
      <c r="G13" s="14">
        <v>48.242232430000001</v>
      </c>
      <c r="H13" s="16">
        <v>2.2533840399999998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(2322/B14*100)</f>
        <v>83.285509325681488</v>
      </c>
      <c r="D14" s="15">
        <v>466</v>
      </c>
      <c r="E14" s="14">
        <v>54.2304472</v>
      </c>
      <c r="F14" s="16">
        <v>2.50714076</v>
      </c>
      <c r="G14" s="14">
        <v>45.7695528</v>
      </c>
      <c r="H14" s="16">
        <v>2.50714076</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51.67984027</v>
      </c>
      <c r="F15" s="16">
        <v>2.02649626</v>
      </c>
      <c r="G15" s="14">
        <v>48.32015973</v>
      </c>
      <c r="H15" s="16">
        <v>2.02649626</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(2585/B16*100)</f>
        <v>83.092253294760525</v>
      </c>
      <c r="D16" s="15">
        <v>526</v>
      </c>
      <c r="E16" s="14">
        <v>67.173499710000002</v>
      </c>
      <c r="F16" s="16">
        <v>2.0023491199999999</v>
      </c>
      <c r="G16" s="14">
        <v>32.826500289999998</v>
      </c>
      <c r="H16" s="16">
        <v>2.0023491199999999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(2666/B17*100)</f>
        <v>83.390678761338748</v>
      </c>
      <c r="D17" s="15">
        <v>531</v>
      </c>
      <c r="E17" s="14">
        <v>56.586851359999997</v>
      </c>
      <c r="F17" s="16">
        <v>2.1983629100000002</v>
      </c>
      <c r="G17" s="14">
        <v>43.413148640000003</v>
      </c>
      <c r="H17" s="16">
        <v>2.1983629100000002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(2241/B18*100)</f>
        <v>82.815964523281593</v>
      </c>
      <c r="D18" s="15">
        <v>465</v>
      </c>
      <c r="E18" s="14">
        <v>69.246511159999997</v>
      </c>
      <c r="F18" s="16">
        <v>2.5061689899999999</v>
      </c>
      <c r="G18" s="14">
        <v>30.753488839999999</v>
      </c>
      <c r="H18" s="16">
        <v>2.5061689899999999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(2391/B19*100)</f>
        <v>83.89473684210526</v>
      </c>
      <c r="D19" s="15">
        <v>459</v>
      </c>
      <c r="E19" s="14">
        <v>58.202564690000003</v>
      </c>
      <c r="F19" s="16">
        <v>2.5813457500000001</v>
      </c>
      <c r="G19" s="14">
        <v>41.797435309999997</v>
      </c>
      <c r="H19" s="16">
        <v>2.5813457500000001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(1461/B20*100)</f>
        <v>83.917288914417</v>
      </c>
      <c r="D20" s="15">
        <v>280</v>
      </c>
      <c r="E20" s="14">
        <v>60.241836859999999</v>
      </c>
      <c r="F20" s="16">
        <v>3.2518273099999999</v>
      </c>
      <c r="G20" s="14">
        <v>39.758163140000001</v>
      </c>
      <c r="H20" s="16">
        <v>3.2518273099999999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(3139/B22*100)</f>
        <v>85.601308971911649</v>
      </c>
      <c r="D22" s="15">
        <v>528</v>
      </c>
      <c r="E22" s="14">
        <v>61.97821811</v>
      </c>
      <c r="F22" s="16">
        <v>2.2640315100000001</v>
      </c>
      <c r="G22" s="14">
        <v>38.02178189</v>
      </c>
      <c r="H22" s="16">
        <v>2.2640315100000001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(4827/B23*100)</f>
        <v>83.33908839779005</v>
      </c>
      <c r="D23" s="15">
        <v>965</v>
      </c>
      <c r="E23" s="14">
        <v>56.128550910000001</v>
      </c>
      <c r="F23" s="16">
        <v>1.9357244199999999</v>
      </c>
      <c r="G23" s="14">
        <v>43.871449089999999</v>
      </c>
      <c r="H23" s="16">
        <v>1.9357244199999999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(2750/B24*100)</f>
        <v>83.106678754910845</v>
      </c>
      <c r="D24" s="15">
        <v>559</v>
      </c>
      <c r="E24" s="14">
        <v>54.914928459999999</v>
      </c>
      <c r="F24" s="16">
        <v>2.2069929899999998</v>
      </c>
      <c r="G24" s="14">
        <v>45.085071540000001</v>
      </c>
      <c r="H24" s="16">
        <v>2.2069929899999998</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53.434535320000002</v>
      </c>
      <c r="F25" s="16">
        <v>2.8863075399999998</v>
      </c>
      <c r="G25" s="14">
        <v>46.565464679999998</v>
      </c>
      <c r="H25" s="16">
        <v>2.8863075399999998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(2004/B26*100)</f>
        <v>82.844150475403055</v>
      </c>
      <c r="D26" s="15">
        <v>415</v>
      </c>
      <c r="E26" s="14">
        <v>52.083444759999999</v>
      </c>
      <c r="F26" s="16">
        <v>2.7589150899999999</v>
      </c>
      <c r="G26" s="14">
        <v>47.916555240000001</v>
      </c>
      <c r="H26" s="16">
        <v>2.7589150899999999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(2258/B27*100)</f>
        <v>84.159522922102127</v>
      </c>
      <c r="D27" s="15">
        <v>425</v>
      </c>
      <c r="E27" s="14">
        <v>67.252247170000004</v>
      </c>
      <c r="F27" s="16">
        <v>2.2376325499999998</v>
      </c>
      <c r="G27" s="14">
        <v>32.747752830000003</v>
      </c>
      <c r="H27" s="16">
        <v>2.2376325499999998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(3281/B28*100)</f>
        <v>86.273994215093353</v>
      </c>
      <c r="D28" s="15">
        <v>522</v>
      </c>
      <c r="E28" s="14">
        <v>48.775234070000003</v>
      </c>
      <c r="F28" s="16">
        <v>2.1377349899999998</v>
      </c>
      <c r="G28" s="14">
        <v>51.224765929999997</v>
      </c>
      <c r="H28" s="16">
        <v>2.1377349899999998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69.750991479999996</v>
      </c>
      <c r="F29" s="16">
        <v>2.1551025099999999</v>
      </c>
      <c r="G29" s="14">
        <v>30.24900852</v>
      </c>
      <c r="H29" s="16">
        <v>2.1551025099999999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(1897/B30*100)</f>
        <v>84.049623393885682</v>
      </c>
      <c r="D30" s="15">
        <v>360</v>
      </c>
      <c r="E30" s="14">
        <v>44.775518689999998</v>
      </c>
      <c r="F30" s="16">
        <v>2.58396194</v>
      </c>
      <c r="G30" s="14">
        <v>55.224481310000002</v>
      </c>
      <c r="H30" s="16">
        <v>2.58396194</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(2263/B31*100)</f>
        <v>83.628972653362894</v>
      </c>
      <c r="D31" s="15">
        <v>443</v>
      </c>
      <c r="E31" s="14">
        <v>48.019318949999999</v>
      </c>
      <c r="F31" s="16">
        <v>2.1166671500000001</v>
      </c>
      <c r="G31" s="14">
        <v>51.980681050000001</v>
      </c>
      <c r="H31" s="16">
        <v>2.1166671500000001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(3082/B33*100)</f>
        <v>84.415228704464525</v>
      </c>
      <c r="D33" s="15">
        <v>569</v>
      </c>
      <c r="E33" s="14">
        <v>54.71338678</v>
      </c>
      <c r="F33" s="16">
        <v>2.3577219</v>
      </c>
      <c r="G33" s="14">
        <v>45.28661322</v>
      </c>
      <c r="H33" s="16">
        <v>2.3577219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(2575/B34*100)</f>
        <v>84.843492586490939</v>
      </c>
      <c r="D34" s="15">
        <v>460</v>
      </c>
      <c r="E34" s="14">
        <v>71.905524339999999</v>
      </c>
      <c r="F34" s="16">
        <v>1.9431508799999999</v>
      </c>
      <c r="G34" s="14">
        <v>28.094475660000001</v>
      </c>
      <c r="H34" s="16">
        <v>1.9431508799999999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(2403/B35*100)</f>
        <v>82.833505687693901</v>
      </c>
      <c r="D35" s="15">
        <v>498</v>
      </c>
      <c r="E35" s="14">
        <v>64.629020310000001</v>
      </c>
      <c r="F35" s="16">
        <v>3.0332404799999999</v>
      </c>
      <c r="G35" s="14">
        <v>35.370979689999999</v>
      </c>
      <c r="H35" s="16">
        <v>3.0332404799999999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(2858/B36*100)</f>
        <v>83.960047003525261</v>
      </c>
      <c r="D36" s="15">
        <v>546</v>
      </c>
      <c r="E36" s="14">
        <v>63.22734543</v>
      </c>
      <c r="F36" s="16">
        <v>2.1620826100000001</v>
      </c>
      <c r="G36" s="14">
        <v>36.77265457</v>
      </c>
      <c r="H36" s="16">
        <v>2.1620826100000001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(2321/B37*100)</f>
        <v>84.98718418161846</v>
      </c>
      <c r="D37" s="15">
        <v>410</v>
      </c>
      <c r="E37" s="14">
        <v>71.359248039999997</v>
      </c>
      <c r="F37" s="16">
        <v>2.4826403799999999</v>
      </c>
      <c r="G37" s="14">
        <v>28.640751959999999</v>
      </c>
      <c r="H37" s="16">
        <v>2.4826403799999999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(2415/B39*100)</f>
        <v>82.198774676650785</v>
      </c>
      <c r="D39" s="15">
        <v>523</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6922</v>
      </c>
      <c r="C40" s="14">
        <f>(5689/B40*100)</f>
        <v>82.187229124530475</v>
      </c>
      <c r="D40" s="15">
        <v>1233</v>
      </c>
      <c r="E40" s="14">
        <v>51.155074720000002</v>
      </c>
      <c r="F40" s="16">
        <v>2.3404897199999999</v>
      </c>
      <c r="G40" s="14">
        <v>48.844925279999998</v>
      </c>
      <c r="H40" s="16">
        <v>2.3404897199999999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(2389/B41*100)</f>
        <v>83.707077785564124</v>
      </c>
      <c r="D41" s="15">
        <v>465</v>
      </c>
      <c r="E41" s="14">
        <v>49.974519039999997</v>
      </c>
      <c r="F41" s="16">
        <v>2.5531906499999999</v>
      </c>
      <c r="G41" s="14">
        <v>50.025480960000003</v>
      </c>
      <c r="H41" s="16">
        <v>2.5531906499999999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83.692868392788796</v>
      </c>
      <c r="D42" s="15">
        <f>IF(COUNT(D7:D41) &gt; 0, AVERAGE(D7:D41), "—")</f>
        <v>591.4375</v>
      </c>
      <c r="E42" s="14">
        <f>IF(COUNT(E7:E41) &gt; 0, AVERAGE(E7:E41), "—")</f>
        <v>56.672785518749997</v>
      </c>
      <c r="F42" s="16">
        <f>IF(COUNT(F7:F41) &gt; 0, SQRT(SUMSQ(F7:F41)/(COUNT(F7:F41)*COUNT(F7:F41)) ), "—")</f>
        <v>0.40386645409183086</v>
      </c>
      <c r="G42" s="14">
        <f>IF(COUNT(G7:G41) &gt; 0, AVERAGE(G7:G41), "—")</f>
        <v>40.202214481249996</v>
      </c>
      <c r="H42" s="16">
        <f>IF(COUNT(H7:H41) &gt; 0, SQRT(SUMSQ(H7:H41)/(COUNT(H7:H41)*COUNT(H7:H41)) ), "—")</f>
        <v>0.40386645409183086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(10701/B46*100)</f>
        <v>88.635798890085312</v>
      </c>
      <c r="D46" s="15">
        <v>1372</v>
      </c>
      <c r="E46" s="14">
        <v>78.359943599999994</v>
      </c>
      <c r="F46" s="16">
        <v>1.5048898500000001</v>
      </c>
      <c r="G46" s="14">
        <v>21.640056399999999</v>
      </c>
      <c r="H46" s="16">
        <v>1.5048898500000001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(2388/B47*100)</f>
        <v>84.590860786397442</v>
      </c>
      <c r="D47" s="15">
        <v>435</v>
      </c>
      <c r="E47" s="14">
        <v>70.493630929999995</v>
      </c>
      <c r="F47" s="16">
        <v>2.2454876700000002</v>
      </c>
      <c r="G47" s="14">
        <v>29.506369070000002</v>
      </c>
      <c r="H47" s="16">
        <v>2.2454876700000002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(3866/B48*100)</f>
        <v>82.57155061939342</v>
      </c>
      <c r="D48" s="15">
        <v>816</v>
      </c>
      <c r="E48" s="14">
        <v>82.251023340000003</v>
      </c>
      <c r="F48" s="16">
        <v>1.66134885</v>
      </c>
      <c r="G48" s="14">
        <v>17.74897666</v>
      </c>
      <c r="H48" s="16">
        <v>1.66134885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(5222/B50*100)</f>
        <v>84.800259824618379</v>
      </c>
      <c r="D50" s="15">
        <v>936</v>
      </c>
      <c r="E50" s="14">
        <v>60.858518439999997</v>
      </c>
      <c r="F50" s="16">
        <v>2.2969194800000001</v>
      </c>
      <c r="G50" s="14">
        <v>39.141481560000003</v>
      </c>
      <c r="H50" s="16">
        <v>2.2969194800000001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(3022/B51*100)</f>
        <v>86.491127647395544</v>
      </c>
      <c r="D51" s="15">
        <v>472</v>
      </c>
      <c r="E51" s="14">
        <v>69.727438579999998</v>
      </c>
      <c r="F51" s="16">
        <v>2.0721979300000002</v>
      </c>
      <c r="G51" s="14">
        <v>30.272561419999999</v>
      </c>
      <c r="H51" s="16">
        <v>2.0721979300000002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(2509/B52*100)</f>
        <v>83.272485894457347</v>
      </c>
      <c r="D52" s="15">
        <v>504</v>
      </c>
      <c r="E52" s="14">
        <v>66.657701979999999</v>
      </c>
      <c r="F52" s="16">
        <v>2.0881754699999999</v>
      </c>
      <c r="G52" s="14">
        <v>33.342298020000001</v>
      </c>
      <c r="H52" s="16">
        <v>2.0881754699999999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(2292/B53*100)</f>
        <v>83.043478260869563</v>
      </c>
      <c r="D53" s="15">
        <v>468</v>
      </c>
      <c r="E53" s="14">
        <v>65.741158330000005</v>
      </c>
      <c r="F53" s="16">
        <v>2.1052398000000001</v>
      </c>
      <c r="G53" s="14">
        <v>34.258841670000002</v>
      </c>
      <c r="H53" s="16">
        <v>2.1052398000000001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(2206/B56*100)</f>
        <v>82.467289719626166</v>
      </c>
      <c r="D56" s="15">
        <v>469</v>
      </c>
      <c r="E56" s="14">
        <v>68.531375209999993</v>
      </c>
      <c r="F56" s="16">
        <v>1.98052703</v>
      </c>
      <c r="G56" s="14">
        <v>31.46862479</v>
      </c>
      <c r="H56" s="16">
        <v>1.98052703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(2668/B61*100)</f>
        <v>83.348953452046231</v>
      </c>
      <c r="D61" s="15">
        <v>533</v>
      </c>
      <c r="E61" s="14">
        <v>65.99090314</v>
      </c>
      <c r="F61" s="16">
        <v>2.17544373</v>
      </c>
      <c r="G61" s="14">
        <v>34.00909686</v>
      </c>
      <c r="H61" s="16">
        <v>2.17544373</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67.563544199999995</v>
      </c>
      <c r="F62" s="16">
        <v>2.4413824499999999</v>
      </c>
      <c r="G62" s="14">
        <v>32.436455799999997</v>
      </c>
      <c r="H62" s="16">
        <v>2.4413824499999999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(2332/B66*100)</f>
        <v>84.157343919162756</v>
      </c>
      <c r="D66" s="15">
        <v>439</v>
      </c>
      <c r="E66" s="14">
        <v>70.12448062</v>
      </c>
      <c r="F66" s="16">
        <v>2.01176727</v>
      </c>
      <c r="G66" s="14">
        <v>29.87551938</v>
      </c>
      <c r="H66" s="16">
        <v>2.01176727</v>
      </c>
      <c r="I66" s="14" t="s">
        <v>139</v>
      </c>
      <c r="J66" s="16" t="s">
        <v>139</v>
      </c>
      <c r="K66" s="14">
        <v>0</v>
      </c>
      <c r="L66" s="16">
        <v>0</v>
      </c>
      <c r="M66" s="14">
        <v>0</v>
      </c>
      <c r="N66" s="16">
        <v>0</v>
      </c>
      <c r="O66" s="14">
        <v>0</v>
      </c>
      <c r="P66" s="16">
        <v>0</v>
      </c>
      <c r="Q66" s="14">
        <v>0</v>
      </c>
      <c r="R66" s="16">
        <v>0</v>
      </c>
    </row>
    <row r="67" spans="1:18" x14ac:dyDescent="0.25">
      <c r="A67" s="11" t="s">
        <v>200</v>
      </c>
      <c r="B67" s="13">
        <v>3460</v>
      </c>
      <c r="C67" s="14">
        <f>(2997/B67*100)</f>
        <v>86.618497109826592</v>
      </c>
      <c r="D67" s="15">
        <v>463</v>
      </c>
      <c r="E67" s="14">
        <v>63.517022019999999</v>
      </c>
      <c r="F67" s="16">
        <v>2.4011421199999998</v>
      </c>
      <c r="G67" s="14">
        <v>36.482977980000001</v>
      </c>
      <c r="H67" s="16">
        <v>2.4011421199999998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(2611/B70*100)</f>
        <v>84.036047634373986</v>
      </c>
      <c r="D70" s="15">
        <v>496</v>
      </c>
      <c r="E70" s="14">
        <v>52.111409010000003</v>
      </c>
      <c r="F70" s="16">
        <v>2.14230506</v>
      </c>
      <c r="G70" s="14">
        <v>47.888590989999997</v>
      </c>
      <c r="H70" s="16">
        <v>2.14230506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(3168/B72*100)</f>
        <v>82.953652788688132</v>
      </c>
      <c r="D72" s="15">
        <v>651</v>
      </c>
      <c r="E72" s="14">
        <v>44.607859240000003</v>
      </c>
      <c r="F72" s="16">
        <v>1.6780535999999999</v>
      </c>
      <c r="G72" s="14">
        <v>55.392140759999997</v>
      </c>
      <c r="H72" s="16">
        <v>1.6780535999999999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(3968/B73*100)</f>
        <v>85.29664660361135</v>
      </c>
      <c r="D73" s="15">
        <v>684</v>
      </c>
      <c r="E73" s="14">
        <v>70.373577650000001</v>
      </c>
      <c r="F73" s="16">
        <v>2.1452665099999999</v>
      </c>
      <c r="G73" s="14">
        <v>29.626422349999999</v>
      </c>
      <c r="H73" s="16">
        <v>2.1452665099999999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(2526/B75*100)</f>
        <v>85.079151229370154</v>
      </c>
      <c r="D75" s="15">
        <v>443</v>
      </c>
      <c r="E75" s="14">
        <v>70.345881869999999</v>
      </c>
      <c r="F75" s="16">
        <v>2.4075340299999999</v>
      </c>
      <c r="G75" s="14">
        <v>29.654118130000001</v>
      </c>
      <c r="H75" s="16">
        <v>2.4075340299999999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(5923/B76*100)</f>
        <v>83.246661981728749</v>
      </c>
      <c r="D76" s="15">
        <v>1192</v>
      </c>
      <c r="E76" s="14">
        <v>69.565613780000007</v>
      </c>
      <c r="F76" s="16">
        <v>1.4412083600000001</v>
      </c>
      <c r="G76" s="14">
        <v>30.43438622</v>
      </c>
      <c r="H76" s="16">
        <v>1.4412083600000001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(2663/B77*100)</f>
        <v>84.432466708941021</v>
      </c>
      <c r="D77" s="15">
        <v>491</v>
      </c>
      <c r="E77" s="14">
        <v>69.343871179999994</v>
      </c>
      <c r="F77" s="16">
        <v>2.0063378100000002</v>
      </c>
      <c r="G77" s="14">
        <v>30.656128819999999</v>
      </c>
      <c r="H77" s="16">
        <v>2.0063378100000002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(3902/B81*100)</f>
        <v>83.056619838229025</v>
      </c>
      <c r="D81" s="15">
        <v>796</v>
      </c>
      <c r="E81" s="14">
        <v>9.5238920999999994</v>
      </c>
      <c r="F81" s="16">
        <v>1.71296428</v>
      </c>
      <c r="G81" s="14">
        <v>8.2822678100000005</v>
      </c>
      <c r="H81" s="16">
        <v>1.57104183</v>
      </c>
      <c r="I81" s="14" t="s">
        <v>139</v>
      </c>
      <c r="J81" s="16" t="s">
        <v>139</v>
      </c>
      <c r="K81" s="14">
        <v>0</v>
      </c>
      <c r="L81" s="16">
        <v>0</v>
      </c>
      <c r="M81" s="14">
        <v>82.193840089999995</v>
      </c>
      <c r="N81" s="16">
        <v>2.62384941</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(6012/B7*100)</f>
        <v>83.931313695379032</v>
      </c>
      <c r="D7" s="15">
        <v>1151</v>
      </c>
      <c r="E7" s="14">
        <v>50.723421000000002</v>
      </c>
      <c r="F7" s="16">
        <v>1.8614623100000001</v>
      </c>
      <c r="G7" s="14">
        <v>49.276578999999998</v>
      </c>
      <c r="H7" s="16">
        <v>1.8614623100000001</v>
      </c>
      <c r="I7" s="14" t="s">
        <v>139</v>
      </c>
      <c r="J7" s="16" t="s">
        <v>139</v>
      </c>
      <c r="K7" s="14">
        <v>0</v>
      </c>
      <c r="L7" s="16">
        <v>0</v>
      </c>
      <c r="M7" s="14">
        <v>0</v>
      </c>
      <c r="N7" s="16">
        <v>0</v>
      </c>
      <c r="O7" s="14">
        <v>0</v>
      </c>
      <c r="P7" s="16">
        <v>0</v>
      </c>
      <c r="Q7" s="14">
        <v>0</v>
      </c>
      <c r="R7" s="16">
        <v>0</v>
      </c>
    </row>
    <row r="8" spans="1:18" x14ac:dyDescent="0.25">
      <c r="A8" s="11" t="s">
        <v>140</v>
      </c>
      <c r="B8" s="13">
        <v>3443</v>
      </c>
      <c r="C8" s="14">
        <f>(2881/B8*100)</f>
        <v>83.677025849549807</v>
      </c>
      <c r="D8" s="15">
        <v>562</v>
      </c>
      <c r="E8" s="14">
        <v>65.867621369999995</v>
      </c>
      <c r="F8" s="16">
        <v>2.5750402999999999</v>
      </c>
      <c r="G8" s="14">
        <v>34.132378629999998</v>
      </c>
      <c r="H8" s="16">
        <v>2.5750402999999999</v>
      </c>
      <c r="I8" s="14" t="s">
        <v>139</v>
      </c>
      <c r="J8" s="16" t="s">
        <v>139</v>
      </c>
      <c r="K8" s="14">
        <v>0</v>
      </c>
      <c r="L8" s="16">
        <v>0</v>
      </c>
      <c r="M8" s="14">
        <v>0</v>
      </c>
      <c r="N8" s="16">
        <v>0</v>
      </c>
      <c r="O8" s="14">
        <v>0</v>
      </c>
      <c r="P8" s="16">
        <v>0</v>
      </c>
      <c r="Q8" s="14">
        <v>0</v>
      </c>
      <c r="R8" s="16">
        <v>0</v>
      </c>
    </row>
    <row r="9" spans="1:18" x14ac:dyDescent="0.25">
      <c r="A9" s="11" t="s">
        <v>141</v>
      </c>
      <c r="B9" s="13">
        <v>4752</v>
      </c>
      <c r="C9" s="14">
        <f>(3969/B9*100)</f>
        <v>83.522727272727266</v>
      </c>
      <c r="D9" s="15">
        <v>783</v>
      </c>
      <c r="E9" s="14">
        <v>57.760811940000004</v>
      </c>
      <c r="F9" s="16">
        <v>1.7119990300000001</v>
      </c>
      <c r="G9" s="14">
        <v>42.239188059999996</v>
      </c>
      <c r="H9" s="16">
        <v>1.7119990300000001</v>
      </c>
      <c r="I9" s="14" t="s">
        <v>139</v>
      </c>
      <c r="J9" s="16" t="s">
        <v>139</v>
      </c>
      <c r="K9" s="14">
        <v>0</v>
      </c>
      <c r="L9" s="16">
        <v>0</v>
      </c>
      <c r="M9" s="14">
        <v>0</v>
      </c>
      <c r="N9" s="16">
        <v>0</v>
      </c>
      <c r="O9" s="14">
        <v>0</v>
      </c>
      <c r="P9" s="16">
        <v>0</v>
      </c>
      <c r="Q9" s="14">
        <v>0</v>
      </c>
      <c r="R9" s="16">
        <v>0</v>
      </c>
    </row>
    <row r="10" spans="1:18" x14ac:dyDescent="0.25">
      <c r="A10" s="11" t="s">
        <v>142</v>
      </c>
      <c r="B10" s="13">
        <v>10022</v>
      </c>
      <c r="C10" s="14">
        <f>(8304/B10*100)</f>
        <v>82.857713031331073</v>
      </c>
      <c r="D10" s="15">
        <v>1718</v>
      </c>
      <c r="E10" s="14">
        <v>47.65037787</v>
      </c>
      <c r="F10" s="16">
        <v>1.6691200100000001</v>
      </c>
      <c r="G10" s="14">
        <v>52.34962213</v>
      </c>
      <c r="H10" s="16">
        <v>1.6691200100000001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(2938/B11*100)</f>
        <v>83.942857142857136</v>
      </c>
      <c r="D11" s="15">
        <v>562</v>
      </c>
      <c r="E11" s="14">
        <v>73.544750230000005</v>
      </c>
      <c r="F11" s="16">
        <v>1.9281625099999999</v>
      </c>
      <c r="G11" s="14">
        <v>26.455249770000002</v>
      </c>
      <c r="H11" s="16">
        <v>1.9281625099999999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(2871/B12*100)</f>
        <v>83.898305084745758</v>
      </c>
      <c r="D12" s="15">
        <v>551</v>
      </c>
      <c r="E12" s="14">
        <v>56.7130133</v>
      </c>
      <c r="F12" s="16">
        <v>2.509487</v>
      </c>
      <c r="G12" s="14">
        <v>43.2869867</v>
      </c>
      <c r="H12" s="16">
        <v>2.509487</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(3033/B13*100)</f>
        <v>84.203220433092724</v>
      </c>
      <c r="D13" s="15">
        <v>569</v>
      </c>
      <c r="E13" s="14">
        <v>59.941303230000003</v>
      </c>
      <c r="F13" s="16">
        <v>2.6117981000000001</v>
      </c>
      <c r="G13" s="14">
        <v>40.058696769999997</v>
      </c>
      <c r="H13" s="16">
        <v>2.6117981000000001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(2322/B14*100)</f>
        <v>83.285509325681488</v>
      </c>
      <c r="D14" s="15">
        <v>466</v>
      </c>
      <c r="E14" s="14">
        <v>56.786658320000001</v>
      </c>
      <c r="F14" s="16">
        <v>2.44105916</v>
      </c>
      <c r="G14" s="14">
        <v>43.213341679999999</v>
      </c>
      <c r="H14" s="16">
        <v>2.44105916</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51.435753079999998</v>
      </c>
      <c r="F15" s="16">
        <v>2.49367655</v>
      </c>
      <c r="G15" s="14">
        <v>48.564246920000002</v>
      </c>
      <c r="H15" s="16">
        <v>2.49367655</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(2585/B16*100)</f>
        <v>83.092253294760525</v>
      </c>
      <c r="D16" s="15">
        <v>526</v>
      </c>
      <c r="E16" s="14">
        <v>61.940351560000003</v>
      </c>
      <c r="F16" s="16">
        <v>1.9513542399999999</v>
      </c>
      <c r="G16" s="14">
        <v>38.059648439999997</v>
      </c>
      <c r="H16" s="16">
        <v>1.9513542399999999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(2666/B17*100)</f>
        <v>83.390678761338748</v>
      </c>
      <c r="D17" s="15">
        <v>531</v>
      </c>
      <c r="E17" s="14">
        <v>55.053312130000002</v>
      </c>
      <c r="F17" s="16">
        <v>2.2099563500000001</v>
      </c>
      <c r="G17" s="14">
        <v>44.946687869999998</v>
      </c>
      <c r="H17" s="16">
        <v>2.2099563500000001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(2241/B18*100)</f>
        <v>82.815964523281593</v>
      </c>
      <c r="D18" s="15">
        <v>465</v>
      </c>
      <c r="E18" s="14">
        <v>65.487573569999995</v>
      </c>
      <c r="F18" s="16">
        <v>2.7359987000000001</v>
      </c>
      <c r="G18" s="14">
        <v>34.512426429999998</v>
      </c>
      <c r="H18" s="16">
        <v>2.7359987000000001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(2391/B19*100)</f>
        <v>83.89473684210526</v>
      </c>
      <c r="D19" s="15">
        <v>459</v>
      </c>
      <c r="E19" s="14">
        <v>63.634216270000003</v>
      </c>
      <c r="F19" s="16">
        <v>2.1427084700000001</v>
      </c>
      <c r="G19" s="14">
        <v>36.365783729999997</v>
      </c>
      <c r="H19" s="16">
        <v>2.1427084700000001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(1461/B20*100)</f>
        <v>83.917288914417</v>
      </c>
      <c r="D20" s="15">
        <v>280</v>
      </c>
      <c r="E20" s="14">
        <v>61.877785459999998</v>
      </c>
      <c r="F20" s="16">
        <v>3.3338579500000001</v>
      </c>
      <c r="G20" s="14">
        <v>38.122214540000002</v>
      </c>
      <c r="H20" s="16">
        <v>3.3338579500000001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(3139/B22*100)</f>
        <v>85.601308971911649</v>
      </c>
      <c r="D22" s="15">
        <v>528</v>
      </c>
      <c r="E22" s="14">
        <v>66.082422249999993</v>
      </c>
      <c r="F22" s="16">
        <v>2.32102955</v>
      </c>
      <c r="G22" s="14">
        <v>33.91757775</v>
      </c>
      <c r="H22" s="16">
        <v>2.32102955</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(4827/B23*100)</f>
        <v>83.33908839779005</v>
      </c>
      <c r="D23" s="15">
        <v>965</v>
      </c>
      <c r="E23" s="14">
        <v>67.821070000000006</v>
      </c>
      <c r="F23" s="16">
        <v>2.1027365900000001</v>
      </c>
      <c r="G23" s="14">
        <v>32.178930000000001</v>
      </c>
      <c r="H23" s="16">
        <v>2.1027365900000001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(2750/B24*100)</f>
        <v>83.106678754910845</v>
      </c>
      <c r="D24" s="15">
        <v>559</v>
      </c>
      <c r="E24" s="14">
        <v>47.09073111</v>
      </c>
      <c r="F24" s="16">
        <v>2.3116552800000001</v>
      </c>
      <c r="G24" s="14">
        <v>52.90926889</v>
      </c>
      <c r="H24" s="16">
        <v>2.3116552800000001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65.213996539999997</v>
      </c>
      <c r="F25" s="16">
        <v>2.3338337299999998</v>
      </c>
      <c r="G25" s="14">
        <v>34.786003460000003</v>
      </c>
      <c r="H25" s="16">
        <v>2.3338337299999998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(2004/B26*100)</f>
        <v>82.844150475403055</v>
      </c>
      <c r="D26" s="15">
        <v>415</v>
      </c>
      <c r="E26" s="14">
        <v>53.363603759999997</v>
      </c>
      <c r="F26" s="16">
        <v>2.80151672</v>
      </c>
      <c r="G26" s="14">
        <v>46.636396240000003</v>
      </c>
      <c r="H26" s="16">
        <v>2.80151672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(2258/B27*100)</f>
        <v>84.159522922102127</v>
      </c>
      <c r="D27" s="15">
        <v>425</v>
      </c>
      <c r="E27" s="14">
        <v>69.278588670000005</v>
      </c>
      <c r="F27" s="16">
        <v>2.1838168900000001</v>
      </c>
      <c r="G27" s="14">
        <v>30.721411329999999</v>
      </c>
      <c r="H27" s="16">
        <v>2.1838168900000001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(3281/B28*100)</f>
        <v>86.273994215093353</v>
      </c>
      <c r="D28" s="15">
        <v>522</v>
      </c>
      <c r="E28" s="14">
        <v>70.576292879999997</v>
      </c>
      <c r="F28" s="16">
        <v>1.9578652599999999</v>
      </c>
      <c r="G28" s="14">
        <v>29.42370712</v>
      </c>
      <c r="H28" s="16">
        <v>1.9578652599999999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48.278532560000002</v>
      </c>
      <c r="F29" s="16">
        <v>2.4200934799999998</v>
      </c>
      <c r="G29" s="14">
        <v>51.721467439999998</v>
      </c>
      <c r="H29" s="16">
        <v>2.4200934799999998</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(1897/B30*100)</f>
        <v>84.049623393885682</v>
      </c>
      <c r="D30" s="15">
        <v>360</v>
      </c>
      <c r="E30" s="14">
        <v>46.188174740000001</v>
      </c>
      <c r="F30" s="16">
        <v>2.8319569499999999</v>
      </c>
      <c r="G30" s="14">
        <v>53.811825259999999</v>
      </c>
      <c r="H30" s="16">
        <v>2.8319569499999999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(2263/B31*100)</f>
        <v>83.628972653362894</v>
      </c>
      <c r="D31" s="15">
        <v>443</v>
      </c>
      <c r="E31" s="14">
        <v>61.032828039999998</v>
      </c>
      <c r="F31" s="16">
        <v>1.9822129399999999</v>
      </c>
      <c r="G31" s="14">
        <v>38.967171960000002</v>
      </c>
      <c r="H31" s="16">
        <v>1.9822129399999999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(3082/B33*100)</f>
        <v>84.415228704464525</v>
      </c>
      <c r="D33" s="15">
        <v>569</v>
      </c>
      <c r="E33" s="14">
        <v>60.525318660000003</v>
      </c>
      <c r="F33" s="16">
        <v>2.0015966500000002</v>
      </c>
      <c r="G33" s="14">
        <v>39.474681339999997</v>
      </c>
      <c r="H33" s="16">
        <v>2.0015966500000002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(2575/B34*100)</f>
        <v>84.843492586490939</v>
      </c>
      <c r="D34" s="15">
        <v>460</v>
      </c>
      <c r="E34" s="14">
        <v>71.637669250000002</v>
      </c>
      <c r="F34" s="16">
        <v>2.2824098099999999</v>
      </c>
      <c r="G34" s="14">
        <v>28.362330750000002</v>
      </c>
      <c r="H34" s="16">
        <v>2.2824098099999999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(2403/B35*100)</f>
        <v>82.833505687693901</v>
      </c>
      <c r="D35" s="15">
        <v>498</v>
      </c>
      <c r="E35" s="14">
        <v>61.399685660000003</v>
      </c>
      <c r="F35" s="16">
        <v>2.6353274299999998</v>
      </c>
      <c r="G35" s="14">
        <v>38.600314339999997</v>
      </c>
      <c r="H35" s="16">
        <v>2.6353274299999998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(2858/B36*100)</f>
        <v>83.960047003525261</v>
      </c>
      <c r="D36" s="15">
        <v>546</v>
      </c>
      <c r="E36" s="14">
        <v>62.010741119999999</v>
      </c>
      <c r="F36" s="16">
        <v>2.18013506</v>
      </c>
      <c r="G36" s="14">
        <v>37.989258880000001</v>
      </c>
      <c r="H36" s="16">
        <v>2.18013506</v>
      </c>
      <c r="I36" s="14" t="s">
        <v>139</v>
      </c>
      <c r="J36" s="16" t="s">
        <v>139</v>
      </c>
      <c r="K36" s="14">
        <v>0</v>
      </c>
      <c r="L36" s="16">
        <v>0</v>
      </c>
      <c r="M36" s="14">
        <v>0</v>
      </c>
      <c r="N36" s="16">
        <v>0</v>
      </c>
      <c r="O36" s="14">
        <v>0</v>
      </c>
      <c r="P36" s="16">
        <v>0</v>
      </c>
      <c r="Q36" s="14">
        <v>0</v>
      </c>
      <c r="R36" s="16">
        <v>0</v>
      </c>
    </row>
    <row r="37" spans="1:18" x14ac:dyDescent="0.25">
      <c r="A37" s="11" t="s">
        <v>170</v>
      </c>
      <c r="B37" s="13">
        <v>2731</v>
      </c>
      <c r="C37" s="14">
        <f>(2321/B37*100)</f>
        <v>84.98718418161846</v>
      </c>
      <c r="D37" s="15">
        <v>410</v>
      </c>
      <c r="E37" s="14">
        <v>61.622580839999998</v>
      </c>
      <c r="F37" s="16">
        <v>2.6695553099999998</v>
      </c>
      <c r="G37" s="14">
        <v>38.377419160000002</v>
      </c>
      <c r="H37" s="16">
        <v>2.6695553099999998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(2415/B39*100)</f>
        <v>82.198774676650785</v>
      </c>
      <c r="D39" s="15">
        <v>523</v>
      </c>
      <c r="E39" s="14">
        <v>77.984120439999998</v>
      </c>
      <c r="F39" s="16">
        <v>2.0746777399999998</v>
      </c>
      <c r="G39" s="14">
        <v>22.015879559999998</v>
      </c>
      <c r="H39" s="16">
        <v>2.0746777399999998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(5689/B40*100)</f>
        <v>82.187229124530475</v>
      </c>
      <c r="D40" s="15">
        <v>1233</v>
      </c>
      <c r="E40" s="14">
        <v>53.22159113</v>
      </c>
      <c r="F40" s="16">
        <v>2.0008156499999998</v>
      </c>
      <c r="G40" s="14">
        <v>46.77840887</v>
      </c>
      <c r="H40" s="16">
        <v>2.0008156499999998</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(2389/B41*100)</f>
        <v>83.707077785564124</v>
      </c>
      <c r="D41" s="15">
        <v>465</v>
      </c>
      <c r="E41" s="14">
        <v>55.083490230000002</v>
      </c>
      <c r="F41" s="16">
        <v>2.4191815399999999</v>
      </c>
      <c r="G41" s="14">
        <v>44.916509769999998</v>
      </c>
      <c r="H41" s="16">
        <v>2.4191815399999999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83.692868392788796</v>
      </c>
      <c r="D42" s="15">
        <f>IF(COUNT(D7:D41) &gt; 0, AVERAGE(D7:D41), "—")</f>
        <v>591.4375</v>
      </c>
      <c r="E42" s="14">
        <f>IF(COUNT(E7:E41) &gt; 0, AVERAGE(E7:E41), "—")</f>
        <v>60.213387100312495</v>
      </c>
      <c r="F42" s="16">
        <f>IF(COUNT(F7:F41) &gt; 0, SQRT(SUMSQ(F7:F41)/(COUNT(F7:F41)*COUNT(F7:F41)) ), "—")</f>
        <v>0.41193879885447171</v>
      </c>
      <c r="G42" s="14">
        <f>IF(COUNT(G7:G41) &gt; 0, AVERAGE(G7:G41), "—")</f>
        <v>39.786612899687498</v>
      </c>
      <c r="H42" s="16">
        <f>IF(COUNT(H7:H41) &gt; 0, SQRT(SUMSQ(H7:H41)/(COUNT(H7:H41)*COUNT(H7:H41)) ), "—")</f>
        <v>0.41193879885447171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(10701/B46*100)</f>
        <v>88.635798890085312</v>
      </c>
      <c r="D46" s="15">
        <v>1372</v>
      </c>
      <c r="E46" s="14">
        <v>80.048403590000007</v>
      </c>
      <c r="F46" s="16">
        <v>1.35610757</v>
      </c>
      <c r="G46" s="14">
        <v>19.951596410000001</v>
      </c>
      <c r="H46" s="16">
        <v>1.35610757</v>
      </c>
      <c r="I46" s="14" t="s">
        <v>139</v>
      </c>
      <c r="J46" s="16" t="s">
        <v>139</v>
      </c>
      <c r="K46" s="14">
        <v>0</v>
      </c>
      <c r="L46" s="16">
        <v>0</v>
      </c>
      <c r="M46" s="14">
        <v>0</v>
      </c>
      <c r="N46" s="16">
        <v>0</v>
      </c>
      <c r="O46" s="14">
        <v>0</v>
      </c>
      <c r="P46" s="16">
        <v>0</v>
      </c>
      <c r="Q46" s="14">
        <v>0</v>
      </c>
      <c r="R46" s="16">
        <v>0</v>
      </c>
    </row>
    <row r="47" spans="1:18" x14ac:dyDescent="0.25">
      <c r="A47" s="11" t="s">
        <v>180</v>
      </c>
      <c r="B47" s="13">
        <v>2823</v>
      </c>
      <c r="C47" s="14">
        <f>(2388/B47*100)</f>
        <v>84.590860786397442</v>
      </c>
      <c r="D47" s="15">
        <v>435</v>
      </c>
      <c r="E47" s="14">
        <v>68.743157150000002</v>
      </c>
      <c r="F47" s="16">
        <v>2.2768510000000002</v>
      </c>
      <c r="G47" s="14">
        <v>31.256842850000002</v>
      </c>
      <c r="H47" s="16">
        <v>2.2768510000000002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(3866/B48*100)</f>
        <v>82.57155061939342</v>
      </c>
      <c r="D48" s="15">
        <v>816</v>
      </c>
      <c r="E48" s="14">
        <v>60.901712359999998</v>
      </c>
      <c r="F48" s="16">
        <v>2.0401333300000002</v>
      </c>
      <c r="G48" s="14">
        <v>39.098287640000002</v>
      </c>
      <c r="H48" s="16">
        <v>2.0401333300000002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(5222/B50*100)</f>
        <v>84.800259824618379</v>
      </c>
      <c r="D50" s="15">
        <v>936</v>
      </c>
      <c r="E50" s="14">
        <v>79.518336509999997</v>
      </c>
      <c r="F50" s="16">
        <v>1.5682374100000001</v>
      </c>
      <c r="G50" s="14">
        <v>20.481663489999999</v>
      </c>
      <c r="H50" s="16">
        <v>1.5682374100000001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(3022/B51*100)</f>
        <v>86.491127647395544</v>
      </c>
      <c r="D51" s="15">
        <v>472</v>
      </c>
      <c r="E51" s="14">
        <v>77.537632529999996</v>
      </c>
      <c r="F51" s="16">
        <v>2.2075675600000002</v>
      </c>
      <c r="G51" s="14">
        <v>22.46236747</v>
      </c>
      <c r="H51" s="16">
        <v>2.2075675600000002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(2509/B52*100)</f>
        <v>83.272485894457347</v>
      </c>
      <c r="D52" s="15">
        <v>504</v>
      </c>
      <c r="E52" s="14">
        <v>69.829853400000005</v>
      </c>
      <c r="F52" s="16">
        <v>2.3255149300000002</v>
      </c>
      <c r="G52" s="14">
        <v>30.170146599999999</v>
      </c>
      <c r="H52" s="16">
        <v>2.3255149300000002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(2292/B53*100)</f>
        <v>83.043478260869563</v>
      </c>
      <c r="D53" s="15">
        <v>468</v>
      </c>
      <c r="E53" s="14">
        <v>70.222463790000006</v>
      </c>
      <c r="F53" s="16">
        <v>2.3252002300000001</v>
      </c>
      <c r="G53" s="14">
        <v>29.777536210000001</v>
      </c>
      <c r="H53" s="16">
        <v>2.3252002300000001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(2206/B56*100)</f>
        <v>82.467289719626166</v>
      </c>
      <c r="D56" s="15">
        <v>469</v>
      </c>
      <c r="E56" s="14">
        <v>51.007042630000001</v>
      </c>
      <c r="F56" s="16">
        <v>2.4022109399999998</v>
      </c>
      <c r="G56" s="14">
        <v>48.992957369999999</v>
      </c>
      <c r="H56" s="16">
        <v>2.4022109399999998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(2668/B61*100)</f>
        <v>83.348953452046231</v>
      </c>
      <c r="D61" s="15">
        <v>533</v>
      </c>
      <c r="E61" s="14">
        <v>63.645678670000002</v>
      </c>
      <c r="F61" s="16">
        <v>2.3543725599999998</v>
      </c>
      <c r="G61" s="14">
        <v>36.354321329999998</v>
      </c>
      <c r="H61" s="16">
        <v>2.3543725599999998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44.193166169999998</v>
      </c>
      <c r="F62" s="16">
        <v>2.44564629</v>
      </c>
      <c r="G62" s="14">
        <v>55.806833830000002</v>
      </c>
      <c r="H62" s="16">
        <v>2.44564629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(2332/B66*100)</f>
        <v>84.157343919162756</v>
      </c>
      <c r="D66" s="15">
        <v>439</v>
      </c>
      <c r="E66" s="14">
        <v>75.458632069999993</v>
      </c>
      <c r="F66" s="16">
        <v>2.1901480499999999</v>
      </c>
      <c r="G66" s="14">
        <v>24.54136793</v>
      </c>
      <c r="H66" s="16">
        <v>2.1901480499999999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(2997/B67*100)</f>
        <v>86.618497109826592</v>
      </c>
      <c r="D67" s="15">
        <v>463</v>
      </c>
      <c r="E67" s="14">
        <v>76.497245129999996</v>
      </c>
      <c r="F67" s="16">
        <v>1.7834519200000001</v>
      </c>
      <c r="G67" s="14">
        <v>23.50275487</v>
      </c>
      <c r="H67" s="16">
        <v>1.7834519200000001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(2611/B70*100)</f>
        <v>84.036047634373986</v>
      </c>
      <c r="D70" s="15">
        <v>496</v>
      </c>
      <c r="E70" s="14">
        <v>65.042809129999995</v>
      </c>
      <c r="F70" s="16">
        <v>2.9818149200000001</v>
      </c>
      <c r="G70" s="14">
        <v>34.957190869999998</v>
      </c>
      <c r="H70" s="16">
        <v>2.9818149200000001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(3168/B72*100)</f>
        <v>82.953652788688132</v>
      </c>
      <c r="D72" s="15">
        <v>651</v>
      </c>
      <c r="E72" s="14">
        <v>62.9039626</v>
      </c>
      <c r="F72" s="16">
        <v>1.97248701</v>
      </c>
      <c r="G72" s="14">
        <v>37.0960374</v>
      </c>
      <c r="H72" s="16">
        <v>1.97248701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(3968/B73*100)</f>
        <v>85.29664660361135</v>
      </c>
      <c r="D73" s="15">
        <v>684</v>
      </c>
      <c r="E73" s="14">
        <v>60.498840420000001</v>
      </c>
      <c r="F73" s="16">
        <v>2.4579052099999998</v>
      </c>
      <c r="G73" s="14">
        <v>39.501159579999999</v>
      </c>
      <c r="H73" s="16">
        <v>2.4579052099999998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(2526/B75*100)</f>
        <v>85.079151229370154</v>
      </c>
      <c r="D75" s="15">
        <v>443</v>
      </c>
      <c r="E75" s="14">
        <v>77.345483209999998</v>
      </c>
      <c r="F75" s="16">
        <v>1.92524848</v>
      </c>
      <c r="G75" s="14">
        <v>22.654516789999999</v>
      </c>
      <c r="H75" s="16">
        <v>1.92524848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(5923/B76*100)</f>
        <v>83.246661981728749</v>
      </c>
      <c r="D76" s="15">
        <v>1192</v>
      </c>
      <c r="E76" s="14">
        <v>69.362078539999999</v>
      </c>
      <c r="F76" s="16">
        <v>2.0396971000000002</v>
      </c>
      <c r="G76" s="14">
        <v>30.637921460000001</v>
      </c>
      <c r="H76" s="16">
        <v>2.0396971000000002</v>
      </c>
      <c r="I76" s="14" t="s">
        <v>139</v>
      </c>
      <c r="J76" s="16" t="s">
        <v>139</v>
      </c>
      <c r="K76" s="14">
        <v>0</v>
      </c>
      <c r="L76" s="16">
        <v>0</v>
      </c>
      <c r="M76" s="14">
        <v>0</v>
      </c>
      <c r="N76" s="16">
        <v>0</v>
      </c>
      <c r="O76" s="14">
        <v>0</v>
      </c>
      <c r="P76" s="16">
        <v>0</v>
      </c>
      <c r="Q76" s="14">
        <v>0</v>
      </c>
      <c r="R76" s="16">
        <v>0</v>
      </c>
    </row>
    <row r="77" spans="1:18" x14ac:dyDescent="0.25">
      <c r="A77" s="11" t="s">
        <v>210</v>
      </c>
      <c r="B77" s="13">
        <v>3154</v>
      </c>
      <c r="C77" s="14">
        <f>(2663/B77*100)</f>
        <v>84.432466708941021</v>
      </c>
      <c r="D77" s="15">
        <v>491</v>
      </c>
      <c r="E77" s="14">
        <v>78.970802059999997</v>
      </c>
      <c r="F77" s="16">
        <v>2.0395911</v>
      </c>
      <c r="G77" s="14">
        <v>21.02919794</v>
      </c>
      <c r="H77" s="16">
        <v>2.0395911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(3902/B81*100)</f>
        <v>83.056619838229025</v>
      </c>
      <c r="D81" s="15">
        <v>796</v>
      </c>
      <c r="E81" s="14">
        <v>66.713317169999996</v>
      </c>
      <c r="F81" s="16">
        <v>2.7196858800000001</v>
      </c>
      <c r="G81" s="14">
        <v>33.286682829999997</v>
      </c>
      <c r="H81" s="16">
        <v>2.7196858800000001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(6012/B7*100)</f>
        <v>83.931313695379032</v>
      </c>
      <c r="D7" s="15">
        <v>1151</v>
      </c>
      <c r="E7" s="14">
        <v>32.594776609999997</v>
      </c>
      <c r="F7" s="16">
        <v>1.9189131699999999</v>
      </c>
      <c r="G7" s="14">
        <v>67.405223390000003</v>
      </c>
      <c r="H7" s="16">
        <v>1.9189131699999999</v>
      </c>
      <c r="I7" s="14" t="s">
        <v>139</v>
      </c>
      <c r="J7" s="16" t="s">
        <v>139</v>
      </c>
      <c r="K7" s="14">
        <v>0</v>
      </c>
      <c r="L7" s="16">
        <v>0</v>
      </c>
      <c r="M7" s="14">
        <v>0</v>
      </c>
      <c r="N7" s="16">
        <v>0</v>
      </c>
      <c r="O7" s="14">
        <v>0</v>
      </c>
      <c r="P7" s="16">
        <v>0</v>
      </c>
      <c r="Q7" s="14">
        <v>0</v>
      </c>
      <c r="R7" s="16">
        <v>0</v>
      </c>
    </row>
    <row r="8" spans="1:18" x14ac:dyDescent="0.25">
      <c r="A8" s="11" t="s">
        <v>140</v>
      </c>
      <c r="B8" s="13">
        <v>3443</v>
      </c>
      <c r="C8" s="14">
        <f>(2881/B8*100)</f>
        <v>83.677025849549807</v>
      </c>
      <c r="D8" s="15">
        <v>562</v>
      </c>
      <c r="E8" s="14">
        <v>34.060966270000002</v>
      </c>
      <c r="F8" s="16">
        <v>2.0101387499999999</v>
      </c>
      <c r="G8" s="14">
        <v>65.939033730000006</v>
      </c>
      <c r="H8" s="16">
        <v>2.0101387499999999</v>
      </c>
      <c r="I8" s="14" t="s">
        <v>139</v>
      </c>
      <c r="J8" s="16" t="s">
        <v>139</v>
      </c>
      <c r="K8" s="14">
        <v>0</v>
      </c>
      <c r="L8" s="16">
        <v>0</v>
      </c>
      <c r="M8" s="14">
        <v>0</v>
      </c>
      <c r="N8" s="16">
        <v>0</v>
      </c>
      <c r="O8" s="14">
        <v>0</v>
      </c>
      <c r="P8" s="16">
        <v>0</v>
      </c>
      <c r="Q8" s="14">
        <v>0</v>
      </c>
      <c r="R8" s="16">
        <v>0</v>
      </c>
    </row>
    <row r="9" spans="1:18" x14ac:dyDescent="0.25">
      <c r="A9" s="11" t="s">
        <v>141</v>
      </c>
      <c r="B9" s="13">
        <v>4752</v>
      </c>
      <c r="C9" s="14">
        <f>(3969/B9*100)</f>
        <v>83.522727272727266</v>
      </c>
      <c r="D9" s="15">
        <v>783</v>
      </c>
      <c r="E9" s="14">
        <v>35.272380560000002</v>
      </c>
      <c r="F9" s="16">
        <v>1.9025505700000001</v>
      </c>
      <c r="G9" s="14">
        <v>64.727619439999998</v>
      </c>
      <c r="H9" s="16">
        <v>1.9025505700000001</v>
      </c>
      <c r="I9" s="14" t="s">
        <v>139</v>
      </c>
      <c r="J9" s="16" t="s">
        <v>139</v>
      </c>
      <c r="K9" s="14">
        <v>0</v>
      </c>
      <c r="L9" s="16">
        <v>0</v>
      </c>
      <c r="M9" s="14">
        <v>0</v>
      </c>
      <c r="N9" s="16">
        <v>0</v>
      </c>
      <c r="O9" s="14">
        <v>0</v>
      </c>
      <c r="P9" s="16">
        <v>0</v>
      </c>
      <c r="Q9" s="14">
        <v>0</v>
      </c>
      <c r="R9" s="16">
        <v>0</v>
      </c>
    </row>
    <row r="10" spans="1:18" x14ac:dyDescent="0.25">
      <c r="A10" s="11" t="s">
        <v>142</v>
      </c>
      <c r="B10" s="13">
        <v>10022</v>
      </c>
      <c r="C10" s="14">
        <f>(8304/B10*100)</f>
        <v>82.857713031331073</v>
      </c>
      <c r="D10" s="15">
        <v>1718</v>
      </c>
      <c r="E10" s="14">
        <v>28.579707110000001</v>
      </c>
      <c r="F10" s="16">
        <v>1.4770825000000001</v>
      </c>
      <c r="G10" s="14">
        <v>71.420292889999999</v>
      </c>
      <c r="H10" s="16">
        <v>1.4770825000000001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(2938/B11*100)</f>
        <v>83.942857142857136</v>
      </c>
      <c r="D11" s="15">
        <v>562</v>
      </c>
      <c r="E11" s="14">
        <v>38.068240320000001</v>
      </c>
      <c r="F11" s="16">
        <v>2.48172266</v>
      </c>
      <c r="G11" s="14">
        <v>61.931759679999999</v>
      </c>
      <c r="H11" s="16">
        <v>2.48172266</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(2871/B12*100)</f>
        <v>83.898305084745758</v>
      </c>
      <c r="D12" s="15">
        <v>551</v>
      </c>
      <c r="E12" s="14">
        <v>33.234325589999997</v>
      </c>
      <c r="F12" s="16">
        <v>2.1578878700000002</v>
      </c>
      <c r="G12" s="14">
        <v>66.765674410000003</v>
      </c>
      <c r="H12" s="16">
        <v>2.1578878700000002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(3033/B13*100)</f>
        <v>84.203220433092724</v>
      </c>
      <c r="D13" s="15">
        <v>569</v>
      </c>
      <c r="E13" s="14">
        <v>27.746622519999999</v>
      </c>
      <c r="F13" s="16">
        <v>2.0778160699999999</v>
      </c>
      <c r="G13" s="14">
        <v>72.253377479999997</v>
      </c>
      <c r="H13" s="16">
        <v>2.0778160699999999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(2322/B14*100)</f>
        <v>83.285509325681488</v>
      </c>
      <c r="D14" s="15">
        <v>466</v>
      </c>
      <c r="E14" s="14">
        <v>37.738966589999997</v>
      </c>
      <c r="F14" s="16">
        <v>2.3557067799999998</v>
      </c>
      <c r="G14" s="14">
        <v>62.261033410000003</v>
      </c>
      <c r="H14" s="16">
        <v>2.3557067799999998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25.889064380000001</v>
      </c>
      <c r="F15" s="16">
        <v>2.1003793100000001</v>
      </c>
      <c r="G15" s="14">
        <v>74.110935620000006</v>
      </c>
      <c r="H15" s="16">
        <v>2.1003793100000001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(2585/B16*100)</f>
        <v>83.092253294760525</v>
      </c>
      <c r="D16" s="15">
        <v>526</v>
      </c>
      <c r="E16" s="14">
        <v>38.245580990000001</v>
      </c>
      <c r="F16" s="16">
        <v>2.06227384</v>
      </c>
      <c r="G16" s="14">
        <v>61.754419009999999</v>
      </c>
      <c r="H16" s="16">
        <v>2.06227384</v>
      </c>
      <c r="I16" s="14" t="s">
        <v>139</v>
      </c>
      <c r="J16" s="16" t="s">
        <v>139</v>
      </c>
      <c r="K16" s="14">
        <v>0</v>
      </c>
      <c r="L16" s="16">
        <v>0</v>
      </c>
      <c r="M16" s="14">
        <v>0</v>
      </c>
      <c r="N16" s="16">
        <v>0</v>
      </c>
      <c r="O16" s="14">
        <v>0</v>
      </c>
      <c r="P16" s="16">
        <v>0</v>
      </c>
      <c r="Q16" s="14">
        <v>0</v>
      </c>
      <c r="R16" s="16">
        <v>0</v>
      </c>
    </row>
    <row r="17" spans="1:18" x14ac:dyDescent="0.25">
      <c r="A17" s="11" t="s">
        <v>149</v>
      </c>
      <c r="B17" s="13">
        <v>3197</v>
      </c>
      <c r="C17" s="14">
        <f>(2666/B17*100)</f>
        <v>83.390678761338748</v>
      </c>
      <c r="D17" s="15">
        <v>531</v>
      </c>
      <c r="E17" s="14">
        <v>28.6663183</v>
      </c>
      <c r="F17" s="16">
        <v>2.1359814400000001</v>
      </c>
      <c r="G17" s="14">
        <v>71.3336817</v>
      </c>
      <c r="H17" s="16">
        <v>2.1359814400000001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(2241/B18*100)</f>
        <v>82.815964523281593</v>
      </c>
      <c r="D18" s="15">
        <v>465</v>
      </c>
      <c r="E18" s="14">
        <v>51.373566660000002</v>
      </c>
      <c r="F18" s="16">
        <v>2.4889112299999998</v>
      </c>
      <c r="G18" s="14">
        <v>48.626433339999998</v>
      </c>
      <c r="H18" s="16">
        <v>2.4889112299999998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(2391/B19*100)</f>
        <v>83.89473684210526</v>
      </c>
      <c r="D19" s="15">
        <v>459</v>
      </c>
      <c r="E19" s="14">
        <v>48.56482287</v>
      </c>
      <c r="F19" s="16">
        <v>2.3912642900000001</v>
      </c>
      <c r="G19" s="14">
        <v>51.43517713</v>
      </c>
      <c r="H19" s="16">
        <v>2.3912642900000001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(1461/B20*100)</f>
        <v>83.917288914417</v>
      </c>
      <c r="D20" s="15">
        <v>280</v>
      </c>
      <c r="E20" s="14">
        <v>32.486736690000001</v>
      </c>
      <c r="F20" s="16">
        <v>2.5559450500000001</v>
      </c>
      <c r="G20" s="14">
        <v>67.513263309999999</v>
      </c>
      <c r="H20" s="16">
        <v>2.5559450500000001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(3139/B22*100)</f>
        <v>85.601308971911649</v>
      </c>
      <c r="D22" s="15">
        <v>528</v>
      </c>
      <c r="E22" s="14">
        <v>40.231090330000001</v>
      </c>
      <c r="F22" s="16">
        <v>2.39765184</v>
      </c>
      <c r="G22" s="14">
        <v>59.768909669999999</v>
      </c>
      <c r="H22" s="16">
        <v>2.39765184</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(4827/B23*100)</f>
        <v>83.33908839779005</v>
      </c>
      <c r="D23" s="15">
        <v>965</v>
      </c>
      <c r="E23" s="14">
        <v>46.87310248</v>
      </c>
      <c r="F23" s="16">
        <v>2.6900365800000001</v>
      </c>
      <c r="G23" s="14">
        <v>53.12689752</v>
      </c>
      <c r="H23" s="16">
        <v>2.6900365800000001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(2750/B24*100)</f>
        <v>83.106678754910845</v>
      </c>
      <c r="D24" s="15">
        <v>559</v>
      </c>
      <c r="E24" s="14">
        <v>20.74768967</v>
      </c>
      <c r="F24" s="16">
        <v>1.8370065</v>
      </c>
      <c r="G24" s="14">
        <v>79.25231033</v>
      </c>
      <c r="H24" s="16">
        <v>1.8370065</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28.509415130000001</v>
      </c>
      <c r="F25" s="16">
        <v>2.2247253200000001</v>
      </c>
      <c r="G25" s="14">
        <v>71.490584870000006</v>
      </c>
      <c r="H25" s="16">
        <v>2.2247253200000001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(2004/B26*100)</f>
        <v>82.844150475403055</v>
      </c>
      <c r="D26" s="15">
        <v>415</v>
      </c>
      <c r="E26" s="14">
        <v>41.12826793</v>
      </c>
      <c r="F26" s="16">
        <v>2.3196998099999999</v>
      </c>
      <c r="G26" s="14">
        <v>58.87173207</v>
      </c>
      <c r="H26" s="16">
        <v>2.3196998099999999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(2258/B27*100)</f>
        <v>84.159522922102127</v>
      </c>
      <c r="D27" s="15">
        <v>425</v>
      </c>
      <c r="E27" s="14">
        <v>42.296966410000003</v>
      </c>
      <c r="F27" s="16">
        <v>2.1839992000000001</v>
      </c>
      <c r="G27" s="14">
        <v>57.703033589999997</v>
      </c>
      <c r="H27" s="16">
        <v>2.1839992000000001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(3281/B28*100)</f>
        <v>86.273994215093353</v>
      </c>
      <c r="D28" s="15">
        <v>522</v>
      </c>
      <c r="E28" s="14">
        <v>50.833569709999999</v>
      </c>
      <c r="F28" s="16">
        <v>2.44979513</v>
      </c>
      <c r="G28" s="14">
        <v>49.166430290000001</v>
      </c>
      <c r="H28" s="16">
        <v>2.44979513</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28.820084059999999</v>
      </c>
      <c r="F29" s="16">
        <v>2.0732211600000001</v>
      </c>
      <c r="G29" s="14">
        <v>71.179915940000001</v>
      </c>
      <c r="H29" s="16">
        <v>2.0732211600000001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(1897/B30*100)</f>
        <v>84.049623393885682</v>
      </c>
      <c r="D30" s="15">
        <v>360</v>
      </c>
      <c r="E30" s="14">
        <v>27.468051020000001</v>
      </c>
      <c r="F30" s="16">
        <v>2.1551068799999999</v>
      </c>
      <c r="G30" s="14">
        <v>72.531948979999996</v>
      </c>
      <c r="H30" s="16">
        <v>2.1551068799999999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(2263/B31*100)</f>
        <v>83.628972653362894</v>
      </c>
      <c r="D31" s="15">
        <v>443</v>
      </c>
      <c r="E31" s="14">
        <v>34.598685639999999</v>
      </c>
      <c r="F31" s="16">
        <v>2.1459130800000001</v>
      </c>
      <c r="G31" s="14">
        <v>65.401314360000001</v>
      </c>
      <c r="H31" s="16">
        <v>2.1459130800000001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(3082/B33*100)</f>
        <v>84.415228704464525</v>
      </c>
      <c r="D33" s="15">
        <v>569</v>
      </c>
      <c r="E33" s="14">
        <v>33.127368650000001</v>
      </c>
      <c r="F33" s="16">
        <v>2.19988904</v>
      </c>
      <c r="G33" s="14">
        <v>66.872631350000006</v>
      </c>
      <c r="H33" s="16">
        <v>2.19988904</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(2575/B34*100)</f>
        <v>84.843492586490939</v>
      </c>
      <c r="D34" s="15">
        <v>460</v>
      </c>
      <c r="E34" s="14">
        <v>44.972109770000003</v>
      </c>
      <c r="F34" s="16">
        <v>2.7432573200000001</v>
      </c>
      <c r="G34" s="14">
        <v>55.027890229999997</v>
      </c>
      <c r="H34" s="16">
        <v>2.7432573200000001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(2403/B35*100)</f>
        <v>82.833505687693901</v>
      </c>
      <c r="D35" s="15">
        <v>498</v>
      </c>
      <c r="E35" s="14">
        <v>39.755929350000002</v>
      </c>
      <c r="F35" s="16">
        <v>2.4458327</v>
      </c>
      <c r="G35" s="14">
        <v>60.244070649999998</v>
      </c>
      <c r="H35" s="16">
        <v>2.4458327</v>
      </c>
      <c r="I35" s="14" t="s">
        <v>139</v>
      </c>
      <c r="J35" s="16" t="s">
        <v>139</v>
      </c>
      <c r="K35" s="14">
        <v>0</v>
      </c>
      <c r="L35" s="16">
        <v>0</v>
      </c>
      <c r="M35" s="14">
        <v>0</v>
      </c>
      <c r="N35" s="16">
        <v>0</v>
      </c>
      <c r="O35" s="14">
        <v>0</v>
      </c>
      <c r="P35" s="16">
        <v>0</v>
      </c>
      <c r="Q35" s="14">
        <v>0</v>
      </c>
      <c r="R35" s="16">
        <v>0</v>
      </c>
    </row>
    <row r="36" spans="1:18" x14ac:dyDescent="0.25">
      <c r="A36" s="11" t="s">
        <v>169</v>
      </c>
      <c r="B36" s="13">
        <v>3404</v>
      </c>
      <c r="C36" s="14">
        <f>(2858/B36*100)</f>
        <v>83.960047003525261</v>
      </c>
      <c r="D36" s="15">
        <v>546</v>
      </c>
      <c r="E36" s="14">
        <v>32.806701930000003</v>
      </c>
      <c r="F36" s="16">
        <v>2.31250036</v>
      </c>
      <c r="G36" s="14">
        <v>67.193298069999997</v>
      </c>
      <c r="H36" s="16">
        <v>2.31250036</v>
      </c>
      <c r="I36" s="14" t="s">
        <v>139</v>
      </c>
      <c r="J36" s="16" t="s">
        <v>139</v>
      </c>
      <c r="K36" s="14">
        <v>0</v>
      </c>
      <c r="L36" s="16">
        <v>0</v>
      </c>
      <c r="M36" s="14">
        <v>0</v>
      </c>
      <c r="N36" s="16">
        <v>0</v>
      </c>
      <c r="O36" s="14">
        <v>0</v>
      </c>
      <c r="P36" s="16">
        <v>0</v>
      </c>
      <c r="Q36" s="14">
        <v>0</v>
      </c>
      <c r="R36" s="16">
        <v>0</v>
      </c>
    </row>
    <row r="37" spans="1:18" x14ac:dyDescent="0.25">
      <c r="A37" s="11" t="s">
        <v>170</v>
      </c>
      <c r="B37" s="13">
        <v>2731</v>
      </c>
      <c r="C37" s="14">
        <f>(2321/B37*100)</f>
        <v>84.98718418161846</v>
      </c>
      <c r="D37" s="15">
        <v>410</v>
      </c>
      <c r="E37" s="14">
        <v>31.368433599999999</v>
      </c>
      <c r="F37" s="16">
        <v>2.5117873099999999</v>
      </c>
      <c r="G37" s="14">
        <v>68.631566399999997</v>
      </c>
      <c r="H37" s="16">
        <v>2.5117873099999999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(2415/B39*100)</f>
        <v>82.198774676650785</v>
      </c>
      <c r="D39" s="15">
        <v>523</v>
      </c>
      <c r="E39" s="14">
        <v>52.225298260000002</v>
      </c>
      <c r="F39" s="16">
        <v>2.2978877400000002</v>
      </c>
      <c r="G39" s="14">
        <v>47.774701739999998</v>
      </c>
      <c r="H39" s="16">
        <v>2.2978877400000002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(5689/B40*100)</f>
        <v>82.187229124530475</v>
      </c>
      <c r="D40" s="15">
        <v>1233</v>
      </c>
      <c r="E40" s="14">
        <v>32.735792539999998</v>
      </c>
      <c r="F40" s="16">
        <v>1.8686578700000001</v>
      </c>
      <c r="G40" s="14">
        <v>67.264207459999994</v>
      </c>
      <c r="H40" s="16">
        <v>1.8686578700000001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(2389/B41*100)</f>
        <v>83.707077785564124</v>
      </c>
      <c r="D41" s="15">
        <v>465</v>
      </c>
      <c r="E41" s="14">
        <v>33.286748119999999</v>
      </c>
      <c r="F41" s="16">
        <v>2.52667587</v>
      </c>
      <c r="G41" s="14">
        <v>66.713251880000001</v>
      </c>
      <c r="H41" s="16">
        <v>2.52667587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83.692868392788796</v>
      </c>
      <c r="D42" s="15">
        <f>IF(COUNT(D7:D41) &gt; 0, AVERAGE(D7:D41), "—")</f>
        <v>591.4375</v>
      </c>
      <c r="E42" s="14">
        <f>IF(COUNT(E7:E41) &gt; 0, AVERAGE(E7:E41), "—")</f>
        <v>36.072105626874993</v>
      </c>
      <c r="F42" s="16">
        <f>IF(COUNT(F7:F41) &gt; 0, SQRT(SUMSQ(F7:F41)/(COUNT(F7:F41)*COUNT(F7:F41)) ), "—")</f>
        <v>0.39780678375804024</v>
      </c>
      <c r="G42" s="14">
        <f>IF(COUNT(G7:G41) &gt; 0, AVERAGE(G7:G41), "—")</f>
        <v>63.927894373125</v>
      </c>
      <c r="H42" s="16">
        <f>IF(COUNT(H7:H41) &gt; 0, SQRT(SUMSQ(H7:H41)/(COUNT(H7:H41)*COUNT(H7:H41)) ), "—")</f>
        <v>0.39780678375804024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(10701/B46*100)</f>
        <v>88.635798890085312</v>
      </c>
      <c r="D46" s="15">
        <v>1372</v>
      </c>
      <c r="E46" s="14">
        <v>52.082721970000001</v>
      </c>
      <c r="F46" s="16">
        <v>1.93779323</v>
      </c>
      <c r="G46" s="14">
        <v>47.917278029999999</v>
      </c>
      <c r="H46" s="16">
        <v>1.93779323</v>
      </c>
      <c r="I46" s="14" t="s">
        <v>139</v>
      </c>
      <c r="J46" s="16" t="s">
        <v>139</v>
      </c>
      <c r="K46" s="14">
        <v>0</v>
      </c>
      <c r="L46" s="16">
        <v>0</v>
      </c>
      <c r="M46" s="14">
        <v>0</v>
      </c>
      <c r="N46" s="16">
        <v>0</v>
      </c>
      <c r="O46" s="14">
        <v>0</v>
      </c>
      <c r="P46" s="16">
        <v>0</v>
      </c>
      <c r="Q46" s="14">
        <v>0</v>
      </c>
      <c r="R46" s="16">
        <v>0</v>
      </c>
    </row>
    <row r="47" spans="1:18" x14ac:dyDescent="0.25">
      <c r="A47" s="11" t="s">
        <v>180</v>
      </c>
      <c r="B47" s="13">
        <v>2823</v>
      </c>
      <c r="C47" s="14">
        <f>(2388/B47*100)</f>
        <v>84.590860786397442</v>
      </c>
      <c r="D47" s="15">
        <v>435</v>
      </c>
      <c r="E47" s="14">
        <v>42.525410909999998</v>
      </c>
      <c r="F47" s="16">
        <v>2.3247184399999998</v>
      </c>
      <c r="G47" s="14">
        <v>57.474589090000002</v>
      </c>
      <c r="H47" s="16">
        <v>2.3247184399999998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(3866/B48*100)</f>
        <v>82.57155061939342</v>
      </c>
      <c r="D48" s="15">
        <v>816</v>
      </c>
      <c r="E48" s="14">
        <v>38.76868339</v>
      </c>
      <c r="F48" s="16">
        <v>2.4888136699999999</v>
      </c>
      <c r="G48" s="14">
        <v>61.23131661</v>
      </c>
      <c r="H48" s="16">
        <v>2.4888136699999999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(5222/B50*100)</f>
        <v>84.800259824618379</v>
      </c>
      <c r="D50" s="15">
        <v>936</v>
      </c>
      <c r="E50" s="14">
        <v>48.296027780000003</v>
      </c>
      <c r="F50" s="16">
        <v>1.8431642100000001</v>
      </c>
      <c r="G50" s="14">
        <v>51.703972219999997</v>
      </c>
      <c r="H50" s="16">
        <v>1.8431642100000001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(3022/B51*100)</f>
        <v>86.491127647395544</v>
      </c>
      <c r="D51" s="15">
        <v>472</v>
      </c>
      <c r="E51" s="14">
        <v>45.92635164</v>
      </c>
      <c r="F51" s="16">
        <v>2.6358434399999999</v>
      </c>
      <c r="G51" s="14">
        <v>54.07364836</v>
      </c>
      <c r="H51" s="16">
        <v>2.6358434399999999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(2509/B52*100)</f>
        <v>83.272485894457347</v>
      </c>
      <c r="D52" s="15">
        <v>504</v>
      </c>
      <c r="E52" s="14">
        <v>46.282158010000003</v>
      </c>
      <c r="F52" s="16">
        <v>2.28415072</v>
      </c>
      <c r="G52" s="14">
        <v>53.717841989999997</v>
      </c>
      <c r="H52" s="16">
        <v>2.28415072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(2292/B53*100)</f>
        <v>83.043478260869563</v>
      </c>
      <c r="D53" s="15">
        <v>468</v>
      </c>
      <c r="E53" s="14">
        <v>49.343603950000002</v>
      </c>
      <c r="F53" s="16">
        <v>2.4609641099999999</v>
      </c>
      <c r="G53" s="14">
        <v>50.656396049999998</v>
      </c>
      <c r="H53" s="16">
        <v>2.4609641099999999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(2206/B56*100)</f>
        <v>82.467289719626166</v>
      </c>
      <c r="D56" s="15">
        <v>469</v>
      </c>
      <c r="E56" s="14">
        <v>31.464307940000001</v>
      </c>
      <c r="F56" s="16">
        <v>2.2121181600000002</v>
      </c>
      <c r="G56" s="14">
        <v>68.535692060000002</v>
      </c>
      <c r="H56" s="16">
        <v>2.2121181600000002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(2668/B61*100)</f>
        <v>83.348953452046231</v>
      </c>
      <c r="D61" s="15">
        <v>533</v>
      </c>
      <c r="E61" s="14">
        <v>42.233003230000001</v>
      </c>
      <c r="F61" s="16">
        <v>2.5279775999999998</v>
      </c>
      <c r="G61" s="14">
        <v>57.766996769999999</v>
      </c>
      <c r="H61" s="16">
        <v>2.5279775999999998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30.918218119999999</v>
      </c>
      <c r="F62" s="16">
        <v>2.3941770999999998</v>
      </c>
      <c r="G62" s="14">
        <v>69.081781879999994</v>
      </c>
      <c r="H62" s="16">
        <v>2.3941770999999998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(2332/B66*100)</f>
        <v>84.157343919162756</v>
      </c>
      <c r="D66" s="15">
        <v>439</v>
      </c>
      <c r="E66" s="14">
        <v>58.102185089999999</v>
      </c>
      <c r="F66" s="16">
        <v>2.2840695200000001</v>
      </c>
      <c r="G66" s="14">
        <v>41.897814910000001</v>
      </c>
      <c r="H66" s="16">
        <v>2.2840695200000001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(2997/B67*100)</f>
        <v>86.618497109826592</v>
      </c>
      <c r="D67" s="15">
        <v>463</v>
      </c>
      <c r="E67" s="14">
        <v>48.845036569999998</v>
      </c>
      <c r="F67" s="16">
        <v>2.4829202499999998</v>
      </c>
      <c r="G67" s="14">
        <v>51.154963430000002</v>
      </c>
      <c r="H67" s="16">
        <v>2.4829202499999998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(2611/B70*100)</f>
        <v>84.036047634373986</v>
      </c>
      <c r="D70" s="15">
        <v>496</v>
      </c>
      <c r="E70" s="14">
        <v>49.2966488</v>
      </c>
      <c r="F70" s="16">
        <v>2.6756872399999998</v>
      </c>
      <c r="G70" s="14">
        <v>50.7033512</v>
      </c>
      <c r="H70" s="16">
        <v>2.6756872399999998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(3168/B72*100)</f>
        <v>82.953652788688132</v>
      </c>
      <c r="D72" s="15">
        <v>651</v>
      </c>
      <c r="E72" s="14">
        <v>31.991562349999999</v>
      </c>
      <c r="F72" s="16">
        <v>1.9407044899999999</v>
      </c>
      <c r="G72" s="14">
        <v>68.008437650000005</v>
      </c>
      <c r="H72" s="16">
        <v>1.9407044899999999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(3968/B73*100)</f>
        <v>85.29664660361135</v>
      </c>
      <c r="D73" s="15">
        <v>684</v>
      </c>
      <c r="E73" s="14">
        <v>46.69708249</v>
      </c>
      <c r="F73" s="16">
        <v>2.2865755700000001</v>
      </c>
      <c r="G73" s="14">
        <v>53.30291751</v>
      </c>
      <c r="H73" s="16">
        <v>2.2865755700000001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(2526/B75*100)</f>
        <v>85.079151229370154</v>
      </c>
      <c r="D75" s="15">
        <v>443</v>
      </c>
      <c r="E75" s="14">
        <v>57.57187279</v>
      </c>
      <c r="F75" s="16">
        <v>2.8007815900000002</v>
      </c>
      <c r="G75" s="14">
        <v>42.42812721</v>
      </c>
      <c r="H75" s="16">
        <v>2.8007815900000002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(5923/B76*100)</f>
        <v>83.246661981728749</v>
      </c>
      <c r="D76" s="15">
        <v>1192</v>
      </c>
      <c r="E76" s="14">
        <v>51.055720700000002</v>
      </c>
      <c r="F76" s="16">
        <v>1.8068723200000001</v>
      </c>
      <c r="G76" s="14">
        <v>48.944279299999998</v>
      </c>
      <c r="H76" s="16">
        <v>1.8068723200000001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(2663/B77*100)</f>
        <v>84.432466708941021</v>
      </c>
      <c r="D77" s="15">
        <v>491</v>
      </c>
      <c r="E77" s="14">
        <v>47.25496322</v>
      </c>
      <c r="F77" s="16">
        <v>2.7886556800000002</v>
      </c>
      <c r="G77" s="14">
        <v>52.74503678</v>
      </c>
      <c r="H77" s="16">
        <v>2.7886556800000002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(3902/B81*100)</f>
        <v>83.056619838229025</v>
      </c>
      <c r="D81" s="15">
        <v>796</v>
      </c>
      <c r="E81" s="14">
        <v>46.492723759999997</v>
      </c>
      <c r="F81" s="16">
        <v>1.9259024899999999</v>
      </c>
      <c r="G81" s="14">
        <v>53.507276240000003</v>
      </c>
      <c r="H81" s="16">
        <v>1.9259024899999999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(6012/B7*100)</f>
        <v>83.931313695379032</v>
      </c>
      <c r="D7" s="15">
        <v>1151</v>
      </c>
      <c r="E7" s="14">
        <v>16.878829069999998</v>
      </c>
      <c r="F7" s="16">
        <v>1.3222082399999999</v>
      </c>
      <c r="G7" s="14">
        <v>83.121170930000005</v>
      </c>
      <c r="H7" s="16">
        <v>1.3222082399999999</v>
      </c>
      <c r="I7" s="14" t="s">
        <v>139</v>
      </c>
      <c r="J7" s="16" t="s">
        <v>139</v>
      </c>
      <c r="K7" s="14">
        <v>0</v>
      </c>
      <c r="L7" s="16">
        <v>0</v>
      </c>
      <c r="M7" s="14">
        <v>0</v>
      </c>
      <c r="N7" s="16">
        <v>0</v>
      </c>
      <c r="O7" s="14">
        <v>0</v>
      </c>
      <c r="P7" s="16">
        <v>0</v>
      </c>
      <c r="Q7" s="14">
        <v>0</v>
      </c>
      <c r="R7" s="16">
        <v>0</v>
      </c>
    </row>
    <row r="8" spans="1:18" x14ac:dyDescent="0.25">
      <c r="A8" s="11" t="s">
        <v>140</v>
      </c>
      <c r="B8" s="13">
        <v>3443</v>
      </c>
      <c r="C8" s="14">
        <f>(2881/B8*100)</f>
        <v>83.677025849549807</v>
      </c>
      <c r="D8" s="15">
        <v>562</v>
      </c>
      <c r="E8" s="14">
        <v>25.70591744</v>
      </c>
      <c r="F8" s="16">
        <v>1.8032835</v>
      </c>
      <c r="G8" s="14">
        <v>74.294082560000007</v>
      </c>
      <c r="H8" s="16">
        <v>1.8032835</v>
      </c>
      <c r="I8" s="14" t="s">
        <v>139</v>
      </c>
      <c r="J8" s="16" t="s">
        <v>139</v>
      </c>
      <c r="K8" s="14">
        <v>0</v>
      </c>
      <c r="L8" s="16">
        <v>0</v>
      </c>
      <c r="M8" s="14">
        <v>0</v>
      </c>
      <c r="N8" s="16">
        <v>0</v>
      </c>
      <c r="O8" s="14">
        <v>0</v>
      </c>
      <c r="P8" s="16">
        <v>0</v>
      </c>
      <c r="Q8" s="14">
        <v>0</v>
      </c>
      <c r="R8" s="16">
        <v>0</v>
      </c>
    </row>
    <row r="9" spans="1:18" x14ac:dyDescent="0.25">
      <c r="A9" s="11" t="s">
        <v>141</v>
      </c>
      <c r="B9" s="13">
        <v>4752</v>
      </c>
      <c r="C9" s="14">
        <f>(3969/B9*100)</f>
        <v>83.522727272727266</v>
      </c>
      <c r="D9" s="15">
        <v>783</v>
      </c>
      <c r="E9" s="14">
        <v>30.280929270000001</v>
      </c>
      <c r="F9" s="16">
        <v>1.6020386600000001</v>
      </c>
      <c r="G9" s="14">
        <v>69.719070729999999</v>
      </c>
      <c r="H9" s="16">
        <v>1.6020386600000001</v>
      </c>
      <c r="I9" s="14" t="s">
        <v>139</v>
      </c>
      <c r="J9" s="16" t="s">
        <v>139</v>
      </c>
      <c r="K9" s="14">
        <v>0</v>
      </c>
      <c r="L9" s="16">
        <v>0</v>
      </c>
      <c r="M9" s="14">
        <v>0</v>
      </c>
      <c r="N9" s="16">
        <v>0</v>
      </c>
      <c r="O9" s="14">
        <v>0</v>
      </c>
      <c r="P9" s="16">
        <v>0</v>
      </c>
      <c r="Q9" s="14">
        <v>0</v>
      </c>
      <c r="R9" s="16">
        <v>0</v>
      </c>
    </row>
    <row r="10" spans="1:18" x14ac:dyDescent="0.25">
      <c r="A10" s="11" t="s">
        <v>142</v>
      </c>
      <c r="B10" s="13">
        <v>10022</v>
      </c>
      <c r="C10" s="14">
        <f>(8304/B10*100)</f>
        <v>82.857713031331073</v>
      </c>
      <c r="D10" s="15">
        <v>1718</v>
      </c>
      <c r="E10" s="14">
        <v>17.160490360000001</v>
      </c>
      <c r="F10" s="16">
        <v>1.3304891299999999</v>
      </c>
      <c r="G10" s="14">
        <v>82.839509640000003</v>
      </c>
      <c r="H10" s="16">
        <v>1.3304891299999999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(2938/B11*100)</f>
        <v>83.942857142857136</v>
      </c>
      <c r="D11" s="15">
        <v>562</v>
      </c>
      <c r="E11" s="14">
        <v>31.927168089999999</v>
      </c>
      <c r="F11" s="16">
        <v>2.2791283400000002</v>
      </c>
      <c r="G11" s="14">
        <v>68.072831910000005</v>
      </c>
      <c r="H11" s="16">
        <v>2.2791283400000002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(2871/B12*100)</f>
        <v>83.898305084745758</v>
      </c>
      <c r="D12" s="15">
        <v>551</v>
      </c>
      <c r="E12" s="14">
        <v>34.055129919999999</v>
      </c>
      <c r="F12" s="16">
        <v>1.8589761199999999</v>
      </c>
      <c r="G12" s="14">
        <v>65.944870080000001</v>
      </c>
      <c r="H12" s="16">
        <v>1.8589761199999999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(3033/B13*100)</f>
        <v>84.203220433092724</v>
      </c>
      <c r="D13" s="15">
        <v>569</v>
      </c>
      <c r="E13" s="14">
        <v>27.457940359999998</v>
      </c>
      <c r="F13" s="16">
        <v>2.0914858999999999</v>
      </c>
      <c r="G13" s="14">
        <v>72.542059640000005</v>
      </c>
      <c r="H13" s="16">
        <v>2.0914858999999999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(2322/B14*100)</f>
        <v>83.285509325681488</v>
      </c>
      <c r="D14" s="15">
        <v>466</v>
      </c>
      <c r="E14" s="14">
        <v>31.52107311</v>
      </c>
      <c r="F14" s="16">
        <v>2.3007001300000001</v>
      </c>
      <c r="G14" s="14">
        <v>68.478926889999997</v>
      </c>
      <c r="H14" s="16">
        <v>2.3007001300000001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21.977278550000001</v>
      </c>
      <c r="F15" s="16">
        <v>1.84202986</v>
      </c>
      <c r="G15" s="14">
        <v>78.022721450000006</v>
      </c>
      <c r="H15" s="16">
        <v>1.84202986</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(2585/B16*100)</f>
        <v>83.092253294760525</v>
      </c>
      <c r="D16" s="15">
        <v>526</v>
      </c>
      <c r="E16" s="14">
        <v>27.596063000000001</v>
      </c>
      <c r="F16" s="16">
        <v>2.33387133</v>
      </c>
      <c r="G16" s="14">
        <v>72.403936999999999</v>
      </c>
      <c r="H16" s="16">
        <v>2.33387133</v>
      </c>
      <c r="I16" s="14" t="s">
        <v>139</v>
      </c>
      <c r="J16" s="16" t="s">
        <v>139</v>
      </c>
      <c r="K16" s="14">
        <v>0</v>
      </c>
      <c r="L16" s="16">
        <v>0</v>
      </c>
      <c r="M16" s="14">
        <v>0</v>
      </c>
      <c r="N16" s="16">
        <v>0</v>
      </c>
      <c r="O16" s="14">
        <v>0</v>
      </c>
      <c r="P16" s="16">
        <v>0</v>
      </c>
      <c r="Q16" s="14">
        <v>0</v>
      </c>
      <c r="R16" s="16">
        <v>0</v>
      </c>
    </row>
    <row r="17" spans="1:18" x14ac:dyDescent="0.25">
      <c r="A17" s="11" t="s">
        <v>149</v>
      </c>
      <c r="B17" s="13">
        <v>3197</v>
      </c>
      <c r="C17" s="14">
        <f>(2666/B17*100)</f>
        <v>83.390678761338748</v>
      </c>
      <c r="D17" s="15">
        <v>531</v>
      </c>
      <c r="E17" s="14">
        <v>20.213522879999999</v>
      </c>
      <c r="F17" s="16">
        <v>1.62185307</v>
      </c>
      <c r="G17" s="14">
        <v>79.786477120000001</v>
      </c>
      <c r="H17" s="16">
        <v>1.62185307</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(2241/B18*100)</f>
        <v>82.815964523281593</v>
      </c>
      <c r="D18" s="15">
        <v>465</v>
      </c>
      <c r="E18" s="14">
        <v>39.025634500000002</v>
      </c>
      <c r="F18" s="16">
        <v>2.17785304</v>
      </c>
      <c r="G18" s="14">
        <v>60.974365499999998</v>
      </c>
      <c r="H18" s="16">
        <v>2.17785304</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(2391/B19*100)</f>
        <v>83.89473684210526</v>
      </c>
      <c r="D19" s="15">
        <v>459</v>
      </c>
      <c r="E19" s="14">
        <v>35.422999439999998</v>
      </c>
      <c r="F19" s="16">
        <v>2.4179566299999999</v>
      </c>
      <c r="G19" s="14">
        <v>64.577000560000002</v>
      </c>
      <c r="H19" s="16">
        <v>2.4179566299999999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(1461/B20*100)</f>
        <v>83.917288914417</v>
      </c>
      <c r="D20" s="15">
        <v>280</v>
      </c>
      <c r="E20" s="14">
        <v>27.729239190000001</v>
      </c>
      <c r="F20" s="16">
        <v>2.9418815299999999</v>
      </c>
      <c r="G20" s="14">
        <v>72.270760809999999</v>
      </c>
      <c r="H20" s="16">
        <v>2.9418815299999999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(3139/B22*100)</f>
        <v>85.601308971911649</v>
      </c>
      <c r="D22" s="15">
        <v>528</v>
      </c>
      <c r="E22" s="14">
        <v>32.650123440000002</v>
      </c>
      <c r="F22" s="16">
        <v>2.0700553099999999</v>
      </c>
      <c r="G22" s="14">
        <v>67.349876559999998</v>
      </c>
      <c r="H22" s="16">
        <v>2.0700553099999999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(4827/B23*100)</f>
        <v>83.33908839779005</v>
      </c>
      <c r="D23" s="15">
        <v>965</v>
      </c>
      <c r="E23" s="14">
        <v>39.001579390000003</v>
      </c>
      <c r="F23" s="16">
        <v>2.0943282600000002</v>
      </c>
      <c r="G23" s="14">
        <v>60.998420609999997</v>
      </c>
      <c r="H23" s="16">
        <v>2.0943282600000002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(2750/B24*100)</f>
        <v>83.106678754910845</v>
      </c>
      <c r="D24" s="15">
        <v>559</v>
      </c>
      <c r="E24" s="14">
        <v>19.272768419999998</v>
      </c>
      <c r="F24" s="16">
        <v>1.6866639400000001</v>
      </c>
      <c r="G24" s="14">
        <v>80.727231579999994</v>
      </c>
      <c r="H24" s="16">
        <v>1.6866639400000001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19.397796530000001</v>
      </c>
      <c r="F25" s="16">
        <v>1.88452624</v>
      </c>
      <c r="G25" s="14">
        <v>80.602203470000006</v>
      </c>
      <c r="H25" s="16">
        <v>1.88452624</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(2004/B26*100)</f>
        <v>82.844150475403055</v>
      </c>
      <c r="D26" s="15">
        <v>415</v>
      </c>
      <c r="E26" s="14">
        <v>37.339005849999999</v>
      </c>
      <c r="F26" s="16">
        <v>2.6354948600000001</v>
      </c>
      <c r="G26" s="14">
        <v>62.660994150000001</v>
      </c>
      <c r="H26" s="16">
        <v>2.6354948600000001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(2258/B27*100)</f>
        <v>84.159522922102127</v>
      </c>
      <c r="D27" s="15">
        <v>425</v>
      </c>
      <c r="E27" s="14">
        <v>25.7685903</v>
      </c>
      <c r="F27" s="16">
        <v>2.2005615500000002</v>
      </c>
      <c r="G27" s="14">
        <v>74.2314097</v>
      </c>
      <c r="H27" s="16">
        <v>2.2005615500000002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(3281/B28*100)</f>
        <v>86.273994215093353</v>
      </c>
      <c r="D28" s="15">
        <v>522</v>
      </c>
      <c r="E28" s="14">
        <v>34.189023339999999</v>
      </c>
      <c r="F28" s="16">
        <v>2.3343166000000002</v>
      </c>
      <c r="G28" s="14">
        <v>65.810976659999994</v>
      </c>
      <c r="H28" s="16">
        <v>2.3343166000000002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33.500229560000001</v>
      </c>
      <c r="F29" s="16">
        <v>2.02745715</v>
      </c>
      <c r="G29" s="14">
        <v>66.499770440000006</v>
      </c>
      <c r="H29" s="16">
        <v>2.02745715</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(1897/B30*100)</f>
        <v>84.049623393885682</v>
      </c>
      <c r="D30" s="15">
        <v>360</v>
      </c>
      <c r="E30" s="14">
        <v>12.753374709999999</v>
      </c>
      <c r="F30" s="16">
        <v>1.7821203299999999</v>
      </c>
      <c r="G30" s="14">
        <v>87.246625289999997</v>
      </c>
      <c r="H30" s="16">
        <v>1.7821203299999999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(2263/B31*100)</f>
        <v>83.628972653362894</v>
      </c>
      <c r="D31" s="15">
        <v>443</v>
      </c>
      <c r="E31" s="14">
        <v>33.481737410000001</v>
      </c>
      <c r="F31" s="16">
        <v>2.1143849499999998</v>
      </c>
      <c r="G31" s="14">
        <v>66.518262590000006</v>
      </c>
      <c r="H31" s="16">
        <v>2.1143849499999998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(3082/B33*100)</f>
        <v>84.415228704464525</v>
      </c>
      <c r="D33" s="15">
        <v>569</v>
      </c>
      <c r="E33" s="14">
        <v>26.555126940000001</v>
      </c>
      <c r="F33" s="16">
        <v>2.29867153</v>
      </c>
      <c r="G33" s="14">
        <v>73.444873060000006</v>
      </c>
      <c r="H33" s="16">
        <v>2.29867153</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(2575/B34*100)</f>
        <v>84.843492586490939</v>
      </c>
      <c r="D34" s="15">
        <v>460</v>
      </c>
      <c r="E34" s="14">
        <v>45.273782109999999</v>
      </c>
      <c r="F34" s="16">
        <v>2.6265704699999999</v>
      </c>
      <c r="G34" s="14">
        <v>54.726217890000001</v>
      </c>
      <c r="H34" s="16">
        <v>2.6265704699999999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(2403/B35*100)</f>
        <v>82.833505687693901</v>
      </c>
      <c r="D35" s="15">
        <v>498</v>
      </c>
      <c r="E35" s="14">
        <v>34.865104299999999</v>
      </c>
      <c r="F35" s="16">
        <v>2.13444425</v>
      </c>
      <c r="G35" s="14">
        <v>65.134895700000001</v>
      </c>
      <c r="H35" s="16">
        <v>2.13444425</v>
      </c>
      <c r="I35" s="14" t="s">
        <v>139</v>
      </c>
      <c r="J35" s="16" t="s">
        <v>139</v>
      </c>
      <c r="K35" s="14">
        <v>0</v>
      </c>
      <c r="L35" s="16">
        <v>0</v>
      </c>
      <c r="M35" s="14">
        <v>0</v>
      </c>
      <c r="N35" s="16">
        <v>0</v>
      </c>
      <c r="O35" s="14">
        <v>0</v>
      </c>
      <c r="P35" s="16">
        <v>0</v>
      </c>
      <c r="Q35" s="14">
        <v>0</v>
      </c>
      <c r="R35" s="16">
        <v>0</v>
      </c>
    </row>
    <row r="36" spans="1:18" x14ac:dyDescent="0.25">
      <c r="A36" s="11" t="s">
        <v>169</v>
      </c>
      <c r="B36" s="13">
        <v>3404</v>
      </c>
      <c r="C36" s="14">
        <f>(2858/B36*100)</f>
        <v>83.960047003525261</v>
      </c>
      <c r="D36" s="15">
        <v>546</v>
      </c>
      <c r="E36" s="14">
        <v>22.57788223</v>
      </c>
      <c r="F36" s="16">
        <v>1.6016887200000001</v>
      </c>
      <c r="G36" s="14">
        <v>77.42211777</v>
      </c>
      <c r="H36" s="16">
        <v>1.6016887200000001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(2321/B37*100)</f>
        <v>84.98718418161846</v>
      </c>
      <c r="D37" s="15">
        <v>410</v>
      </c>
      <c r="E37" s="14">
        <v>34.09772882</v>
      </c>
      <c r="F37" s="16">
        <v>2.50667207</v>
      </c>
      <c r="G37" s="14">
        <v>65.90227118</v>
      </c>
      <c r="H37" s="16">
        <v>2.50667207</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(2415/B39*100)</f>
        <v>82.198774676650785</v>
      </c>
      <c r="D39" s="15">
        <v>523</v>
      </c>
      <c r="E39" s="14">
        <v>48.262780149999998</v>
      </c>
      <c r="F39" s="16">
        <v>2.0241266200000001</v>
      </c>
      <c r="G39" s="14">
        <v>51.737219850000002</v>
      </c>
      <c r="H39" s="16">
        <v>2.0241266200000001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(5689/B40*100)</f>
        <v>82.187229124530475</v>
      </c>
      <c r="D40" s="15">
        <v>1233</v>
      </c>
      <c r="E40" s="14">
        <v>25.431219370000001</v>
      </c>
      <c r="F40" s="16">
        <v>1.95733516</v>
      </c>
      <c r="G40" s="14">
        <v>74.568780630000006</v>
      </c>
      <c r="H40" s="16">
        <v>1.95733516</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(2389/B41*100)</f>
        <v>83.707077785564124</v>
      </c>
      <c r="D41" s="15">
        <v>465</v>
      </c>
      <c r="E41" s="14">
        <v>24.360138389999999</v>
      </c>
      <c r="F41" s="16">
        <v>2.2264238999999999</v>
      </c>
      <c r="G41" s="14">
        <v>75.639861609999997</v>
      </c>
      <c r="H41" s="16">
        <v>2.2264238999999999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83.692868392788796</v>
      </c>
      <c r="D42" s="15">
        <f>IF(COUNT(D7:D41) &gt; 0, AVERAGE(D7:D41), "—")</f>
        <v>591.4375</v>
      </c>
      <c r="E42" s="14">
        <f>IF(COUNT(E7:E41) &gt; 0, AVERAGE(E7:E41), "—")</f>
        <v>29.241568951250002</v>
      </c>
      <c r="F42" s="16">
        <f>IF(COUNT(F7:F41) &gt; 0, SQRT(SUMSQ(F7:F41)/(COUNT(F7:F41)*COUNT(F7:F41)) ), "—")</f>
        <v>0.37094679486329712</v>
      </c>
      <c r="G42" s="14">
        <f>IF(COUNT(G7:G41) &gt; 0, AVERAGE(G7:G41), "—")</f>
        <v>70.758431048750026</v>
      </c>
      <c r="H42" s="16">
        <f>IF(COUNT(H7:H41) &gt; 0, SQRT(SUMSQ(H7:H41)/(COUNT(H7:H41)*COUNT(H7:H41)) ), "—")</f>
        <v>0.37094679486329712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(10701/B46*100)</f>
        <v>88.635798890085312</v>
      </c>
      <c r="D46" s="15">
        <v>1372</v>
      </c>
      <c r="E46" s="14">
        <v>42.959026020000003</v>
      </c>
      <c r="F46" s="16">
        <v>1.94984329</v>
      </c>
      <c r="G46" s="14">
        <v>57.040973979999997</v>
      </c>
      <c r="H46" s="16">
        <v>1.94984329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(2388/B47*100)</f>
        <v>84.590860786397442</v>
      </c>
      <c r="D47" s="15">
        <v>435</v>
      </c>
      <c r="E47" s="14">
        <v>41.382230249999999</v>
      </c>
      <c r="F47" s="16">
        <v>2.5140831700000001</v>
      </c>
      <c r="G47" s="14">
        <v>58.617769750000001</v>
      </c>
      <c r="H47" s="16">
        <v>2.5140831700000001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(3866/B48*100)</f>
        <v>82.57155061939342</v>
      </c>
      <c r="D48" s="15">
        <v>816</v>
      </c>
      <c r="E48" s="14">
        <v>28.134695619999999</v>
      </c>
      <c r="F48" s="16">
        <v>2.16627758</v>
      </c>
      <c r="G48" s="14">
        <v>71.865304379999998</v>
      </c>
      <c r="H48" s="16">
        <v>2.16627758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(5222/B50*100)</f>
        <v>84.800259824618379</v>
      </c>
      <c r="D50" s="15">
        <v>936</v>
      </c>
      <c r="E50" s="14">
        <v>39.606263380000001</v>
      </c>
      <c r="F50" s="16">
        <v>2.22115281</v>
      </c>
      <c r="G50" s="14">
        <v>60.393736619999999</v>
      </c>
      <c r="H50" s="16">
        <v>2.22115281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(3022/B51*100)</f>
        <v>86.491127647395544</v>
      </c>
      <c r="D51" s="15">
        <v>472</v>
      </c>
      <c r="E51" s="14">
        <v>43.532554709999999</v>
      </c>
      <c r="F51" s="16">
        <v>2.4234817</v>
      </c>
      <c r="G51" s="14">
        <v>56.467445290000001</v>
      </c>
      <c r="H51" s="16">
        <v>2.4234817</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(2509/B52*100)</f>
        <v>83.272485894457347</v>
      </c>
      <c r="D52" s="15">
        <v>504</v>
      </c>
      <c r="E52" s="14">
        <v>45.356792560000002</v>
      </c>
      <c r="F52" s="16">
        <v>2.4018851799999998</v>
      </c>
      <c r="G52" s="14">
        <v>54.643207439999998</v>
      </c>
      <c r="H52" s="16">
        <v>2.4018851799999998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(2292/B53*100)</f>
        <v>83.043478260869563</v>
      </c>
      <c r="D53" s="15">
        <v>468</v>
      </c>
      <c r="E53" s="14">
        <v>42.92012261</v>
      </c>
      <c r="F53" s="16">
        <v>2.3144014899999998</v>
      </c>
      <c r="G53" s="14">
        <v>57.07987739</v>
      </c>
      <c r="H53" s="16">
        <v>2.3144014899999998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(2206/B56*100)</f>
        <v>82.467289719626166</v>
      </c>
      <c r="D56" s="15">
        <v>469</v>
      </c>
      <c r="E56" s="14">
        <v>15.865423120000001</v>
      </c>
      <c r="F56" s="16">
        <v>1.6282139499999999</v>
      </c>
      <c r="G56" s="14">
        <v>84.134576879999997</v>
      </c>
      <c r="H56" s="16">
        <v>1.6282139499999999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(2668/B61*100)</f>
        <v>83.348953452046231</v>
      </c>
      <c r="D61" s="15">
        <v>533</v>
      </c>
      <c r="E61" s="14">
        <v>46.632991490000002</v>
      </c>
      <c r="F61" s="16">
        <v>2.4312463000000002</v>
      </c>
      <c r="G61" s="14">
        <v>53.367008509999998</v>
      </c>
      <c r="H61" s="16">
        <v>2.4312463000000002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17.947517860000001</v>
      </c>
      <c r="F62" s="16">
        <v>1.861329</v>
      </c>
      <c r="G62" s="14">
        <v>82.052482139999995</v>
      </c>
      <c r="H62" s="16">
        <v>1.861329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(2332/B66*100)</f>
        <v>84.157343919162756</v>
      </c>
      <c r="D66" s="15">
        <v>439</v>
      </c>
      <c r="E66" s="14">
        <v>57.487233590000002</v>
      </c>
      <c r="F66" s="16">
        <v>2.5014567400000001</v>
      </c>
      <c r="G66" s="14">
        <v>42.512766409999998</v>
      </c>
      <c r="H66" s="16">
        <v>2.5014567400000001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(2997/B67*100)</f>
        <v>86.618497109826592</v>
      </c>
      <c r="D67" s="15">
        <v>463</v>
      </c>
      <c r="E67" s="14">
        <v>38.27331934</v>
      </c>
      <c r="F67" s="16">
        <v>1.88717508</v>
      </c>
      <c r="G67" s="14">
        <v>61.72668066</v>
      </c>
      <c r="H67" s="16">
        <v>1.88717508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(2611/B70*100)</f>
        <v>84.036047634373986</v>
      </c>
      <c r="D70" s="15">
        <v>496</v>
      </c>
      <c r="E70" s="14">
        <v>36.110289379999998</v>
      </c>
      <c r="F70" s="16">
        <v>1.67000864</v>
      </c>
      <c r="G70" s="14">
        <v>63.889710620000002</v>
      </c>
      <c r="H70" s="16">
        <v>1.67000864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(3168/B72*100)</f>
        <v>82.953652788688132</v>
      </c>
      <c r="D72" s="15">
        <v>651</v>
      </c>
      <c r="E72" s="14">
        <v>18.95914767</v>
      </c>
      <c r="F72" s="16">
        <v>1.7096028999999999</v>
      </c>
      <c r="G72" s="14">
        <v>81.040852330000007</v>
      </c>
      <c r="H72" s="16">
        <v>1.7096028999999999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(3968/B73*100)</f>
        <v>85.29664660361135</v>
      </c>
      <c r="D73" s="15">
        <v>684</v>
      </c>
      <c r="E73" s="14">
        <v>39.500452099999997</v>
      </c>
      <c r="F73" s="16">
        <v>2.4455606099999998</v>
      </c>
      <c r="G73" s="14">
        <v>60.499547900000003</v>
      </c>
      <c r="H73" s="16">
        <v>2.4455606099999998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(2526/B75*100)</f>
        <v>85.079151229370154</v>
      </c>
      <c r="D75" s="15">
        <v>443</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7115</v>
      </c>
      <c r="C76" s="14">
        <f>(5923/B76*100)</f>
        <v>83.246661981728749</v>
      </c>
      <c r="D76" s="15">
        <v>1192</v>
      </c>
      <c r="E76" s="14">
        <v>35.132426770000002</v>
      </c>
      <c r="F76" s="16">
        <v>1.7492160800000001</v>
      </c>
      <c r="G76" s="14">
        <v>64.867573230000005</v>
      </c>
      <c r="H76" s="16">
        <v>1.7492160800000001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(2663/B77*100)</f>
        <v>84.432466708941021</v>
      </c>
      <c r="D77" s="15">
        <v>491</v>
      </c>
      <c r="E77" s="14">
        <v>35.603542060000002</v>
      </c>
      <c r="F77" s="16">
        <v>2.2600327299999998</v>
      </c>
      <c r="G77" s="14">
        <v>64.396457940000005</v>
      </c>
      <c r="H77" s="16">
        <v>2.2600327299999998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(3902/B81*100)</f>
        <v>83.056619838229025</v>
      </c>
      <c r="D81" s="15">
        <v>796</v>
      </c>
      <c r="E81" s="14">
        <v>41.903051419999997</v>
      </c>
      <c r="F81" s="16">
        <v>1.80680259</v>
      </c>
      <c r="G81" s="14">
        <v>58.096948580000003</v>
      </c>
      <c r="H81" s="16">
        <v>1.80680259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(6012/B7*100)</f>
        <v>83.931313695379032</v>
      </c>
      <c r="D7" s="15">
        <v>1151</v>
      </c>
      <c r="E7" s="14">
        <v>35.748310320000002</v>
      </c>
      <c r="F7" s="16">
        <v>1.6544532999999999</v>
      </c>
      <c r="G7" s="14">
        <v>64.251689679999998</v>
      </c>
      <c r="H7" s="16">
        <v>1.6544532999999999</v>
      </c>
      <c r="I7" s="14" t="s">
        <v>139</v>
      </c>
      <c r="J7" s="16" t="s">
        <v>139</v>
      </c>
      <c r="K7" s="14">
        <v>0</v>
      </c>
      <c r="L7" s="16">
        <v>0</v>
      </c>
      <c r="M7" s="14">
        <v>0</v>
      </c>
      <c r="N7" s="16">
        <v>0</v>
      </c>
      <c r="O7" s="14">
        <v>0</v>
      </c>
      <c r="P7" s="16">
        <v>0</v>
      </c>
      <c r="Q7" s="14">
        <v>0</v>
      </c>
      <c r="R7" s="16">
        <v>0</v>
      </c>
    </row>
    <row r="8" spans="1:18" x14ac:dyDescent="0.25">
      <c r="A8" s="11" t="s">
        <v>140</v>
      </c>
      <c r="B8" s="13">
        <v>3443</v>
      </c>
      <c r="C8" s="14">
        <f>(2881/B8*100)</f>
        <v>83.677025849549807</v>
      </c>
      <c r="D8" s="15">
        <v>562</v>
      </c>
      <c r="E8" s="14">
        <v>48.882988830000002</v>
      </c>
      <c r="F8" s="16">
        <v>2.3759136999999999</v>
      </c>
      <c r="G8" s="14">
        <v>51.117011169999998</v>
      </c>
      <c r="H8" s="16">
        <v>2.3759136999999999</v>
      </c>
      <c r="I8" s="14" t="s">
        <v>139</v>
      </c>
      <c r="J8" s="16" t="s">
        <v>139</v>
      </c>
      <c r="K8" s="14">
        <v>0</v>
      </c>
      <c r="L8" s="16">
        <v>0</v>
      </c>
      <c r="M8" s="14">
        <v>0</v>
      </c>
      <c r="N8" s="16">
        <v>0</v>
      </c>
      <c r="O8" s="14">
        <v>0</v>
      </c>
      <c r="P8" s="16">
        <v>0</v>
      </c>
      <c r="Q8" s="14">
        <v>0</v>
      </c>
      <c r="R8" s="16">
        <v>0</v>
      </c>
    </row>
    <row r="9" spans="1:18" x14ac:dyDescent="0.25">
      <c r="A9" s="11" t="s">
        <v>141</v>
      </c>
      <c r="B9" s="13">
        <v>4752</v>
      </c>
      <c r="C9" s="14">
        <f>(3969/B9*100)</f>
        <v>83.522727272727266</v>
      </c>
      <c r="D9" s="15">
        <v>783</v>
      </c>
      <c r="E9" s="14">
        <v>49.80847962</v>
      </c>
      <c r="F9" s="16">
        <v>1.9351408800000001</v>
      </c>
      <c r="G9" s="14">
        <v>50.19152038</v>
      </c>
      <c r="H9" s="16">
        <v>1.9351408800000001</v>
      </c>
      <c r="I9" s="14" t="s">
        <v>139</v>
      </c>
      <c r="J9" s="16" t="s">
        <v>139</v>
      </c>
      <c r="K9" s="14">
        <v>0</v>
      </c>
      <c r="L9" s="16">
        <v>0</v>
      </c>
      <c r="M9" s="14">
        <v>0</v>
      </c>
      <c r="N9" s="16">
        <v>0</v>
      </c>
      <c r="O9" s="14">
        <v>0</v>
      </c>
      <c r="P9" s="16">
        <v>0</v>
      </c>
      <c r="Q9" s="14">
        <v>0</v>
      </c>
      <c r="R9" s="16">
        <v>0</v>
      </c>
    </row>
    <row r="10" spans="1:18" x14ac:dyDescent="0.25">
      <c r="A10" s="11" t="s">
        <v>142</v>
      </c>
      <c r="B10" s="13">
        <v>10022</v>
      </c>
      <c r="C10" s="14">
        <f>(8304/B10*100)</f>
        <v>82.857713031331073</v>
      </c>
      <c r="D10" s="15">
        <v>1718</v>
      </c>
      <c r="E10" s="14">
        <v>40.33095333</v>
      </c>
      <c r="F10" s="16">
        <v>1.7477149300000001</v>
      </c>
      <c r="G10" s="14">
        <v>59.66904667</v>
      </c>
      <c r="H10" s="16">
        <v>1.7477149300000001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(2938/B11*100)</f>
        <v>83.942857142857136</v>
      </c>
      <c r="D11" s="15">
        <v>562</v>
      </c>
      <c r="E11" s="14">
        <v>56.895913530000001</v>
      </c>
      <c r="F11" s="16">
        <v>2.3480439299999998</v>
      </c>
      <c r="G11" s="14">
        <v>43.104086469999999</v>
      </c>
      <c r="H11" s="16">
        <v>2.3480439299999998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(2871/B12*100)</f>
        <v>83.898305084745758</v>
      </c>
      <c r="D12" s="15">
        <v>551</v>
      </c>
      <c r="E12" s="14">
        <v>55.869129700000002</v>
      </c>
      <c r="F12" s="16">
        <v>2.2642268300000001</v>
      </c>
      <c r="G12" s="14">
        <v>44.130870299999998</v>
      </c>
      <c r="H12" s="16">
        <v>2.2642268300000001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(3033/B13*100)</f>
        <v>84.203220433092724</v>
      </c>
      <c r="D13" s="15">
        <v>569</v>
      </c>
      <c r="E13" s="14">
        <v>42.222641750000001</v>
      </c>
      <c r="F13" s="16">
        <v>2.74013171</v>
      </c>
      <c r="G13" s="14">
        <v>57.777358249999999</v>
      </c>
      <c r="H13" s="16">
        <v>2.74013171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(2322/B14*100)</f>
        <v>83.285509325681488</v>
      </c>
      <c r="D14" s="15">
        <v>466</v>
      </c>
      <c r="E14" s="14">
        <v>47.311895989999996</v>
      </c>
      <c r="F14" s="16">
        <v>2.4879090499999998</v>
      </c>
      <c r="G14" s="14">
        <v>52.688104010000004</v>
      </c>
      <c r="H14" s="16">
        <v>2.4879090499999998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40.512609300000001</v>
      </c>
      <c r="F15" s="16">
        <v>2.2773556099999999</v>
      </c>
      <c r="G15" s="14">
        <v>59.487390699999999</v>
      </c>
      <c r="H15" s="16">
        <v>2.2773556099999999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(2585/B16*100)</f>
        <v>83.092253294760525</v>
      </c>
      <c r="D16" s="15">
        <v>526</v>
      </c>
      <c r="E16" s="14">
        <v>65.513917660000004</v>
      </c>
      <c r="F16" s="16">
        <v>2.3859956200000001</v>
      </c>
      <c r="G16" s="14">
        <v>34.486082340000003</v>
      </c>
      <c r="H16" s="16">
        <v>2.3859956200000001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(2666/B17*100)</f>
        <v>83.390678761338748</v>
      </c>
      <c r="D17" s="15">
        <v>531</v>
      </c>
      <c r="E17" s="14">
        <v>40.694571089999997</v>
      </c>
      <c r="F17" s="16">
        <v>2.21747782</v>
      </c>
      <c r="G17" s="14">
        <v>59.305428910000003</v>
      </c>
      <c r="H17" s="16">
        <v>2.21747782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(2241/B18*100)</f>
        <v>82.815964523281593</v>
      </c>
      <c r="D18" s="15">
        <v>465</v>
      </c>
      <c r="E18" s="14">
        <v>57.719601840000003</v>
      </c>
      <c r="F18" s="16">
        <v>2.6817117100000001</v>
      </c>
      <c r="G18" s="14">
        <v>42.280398159999997</v>
      </c>
      <c r="H18" s="16">
        <v>2.6817117100000001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(2391/B19*100)</f>
        <v>83.89473684210526</v>
      </c>
      <c r="D19" s="15">
        <v>459</v>
      </c>
      <c r="E19" s="14">
        <v>61.030913859999998</v>
      </c>
      <c r="F19" s="16">
        <v>2.1594605900000001</v>
      </c>
      <c r="G19" s="14">
        <v>38.969086140000002</v>
      </c>
      <c r="H19" s="16">
        <v>2.1594605900000001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(1461/B20*100)</f>
        <v>83.917288914417</v>
      </c>
      <c r="D20" s="15">
        <v>280</v>
      </c>
      <c r="E20" s="14">
        <v>47.97837887</v>
      </c>
      <c r="F20" s="16">
        <v>3.1289825599999999</v>
      </c>
      <c r="G20" s="14">
        <v>52.02162113</v>
      </c>
      <c r="H20" s="16">
        <v>3.1289825599999999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(3139/B22*100)</f>
        <v>85.601308971911649</v>
      </c>
      <c r="D22" s="15">
        <v>528</v>
      </c>
      <c r="E22" s="14">
        <v>44.800157720000001</v>
      </c>
      <c r="F22" s="16">
        <v>2.4412421200000001</v>
      </c>
      <c r="G22" s="14">
        <v>55.199842279999999</v>
      </c>
      <c r="H22" s="16">
        <v>2.4412421200000001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(4827/B23*100)</f>
        <v>83.33908839779005</v>
      </c>
      <c r="D23" s="15">
        <v>965</v>
      </c>
      <c r="E23" s="14">
        <v>68.277923009999995</v>
      </c>
      <c r="F23" s="16">
        <v>2.0769659900000002</v>
      </c>
      <c r="G23" s="14">
        <v>31.722076990000001</v>
      </c>
      <c r="H23" s="16">
        <v>2.0769659900000002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(2750/B24*100)</f>
        <v>83.106678754910845</v>
      </c>
      <c r="D24" s="15">
        <v>559</v>
      </c>
      <c r="E24" s="14">
        <v>11.159333699999999</v>
      </c>
      <c r="F24" s="16">
        <v>1.37787047</v>
      </c>
      <c r="G24" s="14">
        <v>88.840666299999995</v>
      </c>
      <c r="H24" s="16">
        <v>1.37787047</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32.814063840000003</v>
      </c>
      <c r="F25" s="16">
        <v>2.1125086799999999</v>
      </c>
      <c r="G25" s="14">
        <v>67.185936159999997</v>
      </c>
      <c r="H25" s="16">
        <v>2.1125086799999999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(2004/B26*100)</f>
        <v>82.844150475403055</v>
      </c>
      <c r="D26" s="15">
        <v>415</v>
      </c>
      <c r="E26" s="14">
        <v>53.54503528</v>
      </c>
      <c r="F26" s="16">
        <v>2.47567191</v>
      </c>
      <c r="G26" s="14">
        <v>46.45496472</v>
      </c>
      <c r="H26" s="16">
        <v>2.47567191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(2258/B27*100)</f>
        <v>84.159522922102127</v>
      </c>
      <c r="D27" s="15">
        <v>425</v>
      </c>
      <c r="E27" s="14">
        <v>56.72978878</v>
      </c>
      <c r="F27" s="16">
        <v>2.4637620099999999</v>
      </c>
      <c r="G27" s="14">
        <v>43.27021122</v>
      </c>
      <c r="H27" s="16">
        <v>2.4637620099999999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(3281/B28*100)</f>
        <v>86.273994215093353</v>
      </c>
      <c r="D28" s="15">
        <v>522</v>
      </c>
      <c r="E28" s="14">
        <v>55.294536350000001</v>
      </c>
      <c r="F28" s="16">
        <v>2.4316135800000001</v>
      </c>
      <c r="G28" s="14">
        <v>44.705463649999999</v>
      </c>
      <c r="H28" s="16">
        <v>2.4316135800000001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36.435853700000003</v>
      </c>
      <c r="F29" s="16">
        <v>2.0938799399999999</v>
      </c>
      <c r="G29" s="14">
        <v>63.564146299999997</v>
      </c>
      <c r="H29" s="16">
        <v>2.0938799399999999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(1897/B30*100)</f>
        <v>84.049623393885682</v>
      </c>
      <c r="D30" s="15">
        <v>360</v>
      </c>
      <c r="E30" s="14">
        <v>36.625049429999997</v>
      </c>
      <c r="F30" s="16">
        <v>2.6191271999999999</v>
      </c>
      <c r="G30" s="14">
        <v>63.374950570000003</v>
      </c>
      <c r="H30" s="16">
        <v>2.6191271999999999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(2263/B31*100)</f>
        <v>83.628972653362894</v>
      </c>
      <c r="D31" s="15">
        <v>443</v>
      </c>
      <c r="E31" s="14">
        <v>43.578029800000003</v>
      </c>
      <c r="F31" s="16">
        <v>2.7510759199999999</v>
      </c>
      <c r="G31" s="14">
        <v>56.421970199999997</v>
      </c>
      <c r="H31" s="16">
        <v>2.7510759199999999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(3082/B33*100)</f>
        <v>84.415228704464525</v>
      </c>
      <c r="D33" s="15">
        <v>569</v>
      </c>
      <c r="E33" s="14">
        <v>55.649479120000002</v>
      </c>
      <c r="F33" s="16">
        <v>2.4026257000000002</v>
      </c>
      <c r="G33" s="14">
        <v>44.350520879999998</v>
      </c>
      <c r="H33" s="16">
        <v>2.4026257000000002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(2575/B34*100)</f>
        <v>84.843492586490939</v>
      </c>
      <c r="D34" s="15">
        <v>460</v>
      </c>
      <c r="E34" s="14">
        <v>58.18190276</v>
      </c>
      <c r="F34" s="16">
        <v>2.5485195200000001</v>
      </c>
      <c r="G34" s="14">
        <v>41.81809724</v>
      </c>
      <c r="H34" s="16">
        <v>2.5485195200000001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(2403/B35*100)</f>
        <v>82.833505687693901</v>
      </c>
      <c r="D35" s="15">
        <v>498</v>
      </c>
      <c r="E35" s="14">
        <v>48.917455449999999</v>
      </c>
      <c r="F35" s="16">
        <v>2.7586180300000001</v>
      </c>
      <c r="G35" s="14">
        <v>51.082544550000001</v>
      </c>
      <c r="H35" s="16">
        <v>2.7586180300000001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(2858/B36*100)</f>
        <v>83.960047003525261</v>
      </c>
      <c r="D36" s="15">
        <v>546</v>
      </c>
      <c r="E36" s="14">
        <v>48.725867020000003</v>
      </c>
      <c r="F36" s="16">
        <v>2.5223981800000002</v>
      </c>
      <c r="G36" s="14">
        <v>51.274132979999997</v>
      </c>
      <c r="H36" s="16">
        <v>2.5223981800000002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(2321/B37*100)</f>
        <v>84.98718418161846</v>
      </c>
      <c r="D37" s="15">
        <v>410</v>
      </c>
      <c r="E37" s="14">
        <v>48.307705749999997</v>
      </c>
      <c r="F37" s="16">
        <v>2.8212904299999999</v>
      </c>
      <c r="G37" s="14">
        <v>51.692294250000003</v>
      </c>
      <c r="H37" s="16">
        <v>2.8212904299999999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(2415/B39*100)</f>
        <v>82.198774676650785</v>
      </c>
      <c r="D39" s="15">
        <v>523</v>
      </c>
      <c r="E39" s="14">
        <v>57.879594969999999</v>
      </c>
      <c r="F39" s="16">
        <v>2.64495536</v>
      </c>
      <c r="G39" s="14">
        <v>42.120405030000001</v>
      </c>
      <c r="H39" s="16">
        <v>2.64495536</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(5689/B40*100)</f>
        <v>82.187229124530475</v>
      </c>
      <c r="D40" s="15">
        <v>1233</v>
      </c>
      <c r="E40" s="14">
        <v>43.761171009999998</v>
      </c>
      <c r="F40" s="16">
        <v>1.64170953</v>
      </c>
      <c r="G40" s="14">
        <v>56.238828990000002</v>
      </c>
      <c r="H40" s="16">
        <v>1.64170953</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(2389/B41*100)</f>
        <v>83.707077785564124</v>
      </c>
      <c r="D41" s="15">
        <v>465</v>
      </c>
      <c r="E41" s="14">
        <v>40.801080570000003</v>
      </c>
      <c r="F41" s="16">
        <v>2.74582025</v>
      </c>
      <c r="G41" s="14">
        <v>59.198919429999997</v>
      </c>
      <c r="H41" s="16">
        <v>2.74582025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83.692868392788796</v>
      </c>
      <c r="D42" s="15">
        <f>IF(COUNT(D7:D41) &gt; 0, AVERAGE(D7:D41), "—")</f>
        <v>591.4375</v>
      </c>
      <c r="E42" s="14">
        <f>IF(COUNT(E7:E41) &gt; 0, AVERAGE(E7:E41), "—")</f>
        <v>47.875135435937494</v>
      </c>
      <c r="F42" s="16">
        <f>IF(COUNT(F7:F41) &gt; 0, SQRT(SUMSQ(F7:F41)/(COUNT(F7:F41)*COUNT(F7:F41)) ), "—")</f>
        <v>0.42152847106254399</v>
      </c>
      <c r="G42" s="14">
        <f>IF(COUNT(G7:G41) &gt; 0, AVERAGE(G7:G41), "—")</f>
        <v>52.124864564062506</v>
      </c>
      <c r="H42" s="16">
        <f>IF(COUNT(H7:H41) &gt; 0, SQRT(SUMSQ(H7:H41)/(COUNT(H7:H41)*COUNT(H7:H41)) ), "—")</f>
        <v>0.42152847106254399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(10701/B46*100)</f>
        <v>88.635798890085312</v>
      </c>
      <c r="D46" s="15">
        <v>1372</v>
      </c>
      <c r="E46" s="14">
        <v>63.512615590000003</v>
      </c>
      <c r="F46" s="16">
        <v>1.64620319</v>
      </c>
      <c r="G46" s="14">
        <v>36.487384409999997</v>
      </c>
      <c r="H46" s="16">
        <v>1.64620319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(2388/B47*100)</f>
        <v>84.590860786397442</v>
      </c>
      <c r="D47" s="15">
        <v>435</v>
      </c>
      <c r="E47" s="14">
        <v>56.692498059999998</v>
      </c>
      <c r="F47" s="16">
        <v>2.48852641</v>
      </c>
      <c r="G47" s="14">
        <v>43.307501940000002</v>
      </c>
      <c r="H47" s="16">
        <v>2.48852641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(3866/B48*100)</f>
        <v>82.57155061939342</v>
      </c>
      <c r="D48" s="15">
        <v>816</v>
      </c>
      <c r="E48" s="14">
        <v>42.697856020000003</v>
      </c>
      <c r="F48" s="16">
        <v>2.6959330499999998</v>
      </c>
      <c r="G48" s="14">
        <v>57.302143979999997</v>
      </c>
      <c r="H48" s="16">
        <v>2.6959330499999998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(5222/B50*100)</f>
        <v>84.800259824618379</v>
      </c>
      <c r="D50" s="15">
        <v>936</v>
      </c>
      <c r="E50" s="14">
        <v>64.254835080000007</v>
      </c>
      <c r="F50" s="16">
        <v>2.0602722299999998</v>
      </c>
      <c r="G50" s="14">
        <v>35.745164920000001</v>
      </c>
      <c r="H50" s="16">
        <v>2.0602722299999998</v>
      </c>
      <c r="I50" s="14" t="s">
        <v>139</v>
      </c>
      <c r="J50" s="16" t="s">
        <v>139</v>
      </c>
      <c r="K50" s="14">
        <v>0</v>
      </c>
      <c r="L50" s="16">
        <v>0</v>
      </c>
      <c r="M50" s="14">
        <v>0</v>
      </c>
      <c r="N50" s="16">
        <v>0</v>
      </c>
      <c r="O50" s="14">
        <v>0</v>
      </c>
      <c r="P50" s="16">
        <v>0</v>
      </c>
      <c r="Q50" s="14">
        <v>0</v>
      </c>
      <c r="R50" s="16">
        <v>0</v>
      </c>
    </row>
    <row r="51" spans="1:18" x14ac:dyDescent="0.25">
      <c r="A51" s="11" t="s">
        <v>184</v>
      </c>
      <c r="B51" s="13">
        <v>3494</v>
      </c>
      <c r="C51" s="14">
        <f>(3022/B51*100)</f>
        <v>86.491127647395544</v>
      </c>
      <c r="D51" s="15">
        <v>472</v>
      </c>
      <c r="E51" s="14">
        <v>59.452710240000002</v>
      </c>
      <c r="F51" s="16">
        <v>2.7341348499999998</v>
      </c>
      <c r="G51" s="14">
        <v>40.547289759999998</v>
      </c>
      <c r="H51" s="16">
        <v>2.7341348499999998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(2509/B52*100)</f>
        <v>83.272485894457347</v>
      </c>
      <c r="D52" s="15">
        <v>504</v>
      </c>
      <c r="E52" s="14">
        <v>61.322148089999999</v>
      </c>
      <c r="F52" s="16">
        <v>2.3243004100000002</v>
      </c>
      <c r="G52" s="14">
        <v>38.677851910000001</v>
      </c>
      <c r="H52" s="16">
        <v>2.3243004100000002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(2292/B53*100)</f>
        <v>83.043478260869563</v>
      </c>
      <c r="D53" s="15">
        <v>468</v>
      </c>
      <c r="E53" s="14">
        <v>60.012572079999998</v>
      </c>
      <c r="F53" s="16">
        <v>2.5091173100000002</v>
      </c>
      <c r="G53" s="14">
        <v>39.987427920000002</v>
      </c>
      <c r="H53" s="16">
        <v>2.5091173100000002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(2206/B56*100)</f>
        <v>82.467289719626166</v>
      </c>
      <c r="D56" s="15">
        <v>469</v>
      </c>
      <c r="E56" s="14">
        <v>36.2638867</v>
      </c>
      <c r="F56" s="16">
        <v>2.1732122</v>
      </c>
      <c r="G56" s="14">
        <v>63.7361133</v>
      </c>
      <c r="H56" s="16">
        <v>2.1732122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(2668/B61*100)</f>
        <v>83.348953452046231</v>
      </c>
      <c r="D61" s="15">
        <v>533</v>
      </c>
      <c r="E61" s="14">
        <v>54.896884729999996</v>
      </c>
      <c r="F61" s="16">
        <v>2.3110909400000001</v>
      </c>
      <c r="G61" s="14">
        <v>45.103115270000004</v>
      </c>
      <c r="H61" s="16">
        <v>2.3110909400000001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39.527083660000002</v>
      </c>
      <c r="F62" s="16">
        <v>2.5450573099999998</v>
      </c>
      <c r="G62" s="14">
        <v>60.472916339999998</v>
      </c>
      <c r="H62" s="16">
        <v>2.5450573099999998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(2332/B66*100)</f>
        <v>84.157343919162756</v>
      </c>
      <c r="D66" s="15">
        <v>439</v>
      </c>
      <c r="E66" s="14">
        <v>54.748773020000002</v>
      </c>
      <c r="F66" s="16">
        <v>2.3018086900000001</v>
      </c>
      <c r="G66" s="14">
        <v>45.251226979999998</v>
      </c>
      <c r="H66" s="16">
        <v>2.3018086900000001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(2997/B67*100)</f>
        <v>86.618497109826592</v>
      </c>
      <c r="D67" s="15">
        <v>463</v>
      </c>
      <c r="E67" s="14">
        <v>61.77434659</v>
      </c>
      <c r="F67" s="16">
        <v>2.5798801899999999</v>
      </c>
      <c r="G67" s="14">
        <v>38.22565341</v>
      </c>
      <c r="H67" s="16">
        <v>2.5798801899999999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(2611/B70*100)</f>
        <v>84.036047634373986</v>
      </c>
      <c r="D70" s="15">
        <v>496</v>
      </c>
      <c r="E70" s="14">
        <v>46.79997856</v>
      </c>
      <c r="F70" s="16">
        <v>2.0573484500000001</v>
      </c>
      <c r="G70" s="14">
        <v>53.20002144</v>
      </c>
      <c r="H70" s="16">
        <v>2.0573484500000001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(3168/B72*100)</f>
        <v>82.953652788688132</v>
      </c>
      <c r="D72" s="15">
        <v>651</v>
      </c>
      <c r="E72" s="14">
        <v>41.416712009999998</v>
      </c>
      <c r="F72" s="16">
        <v>2.0649575699999998</v>
      </c>
      <c r="G72" s="14">
        <v>58.583287990000002</v>
      </c>
      <c r="H72" s="16">
        <v>2.0649575699999998</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(3968/B73*100)</f>
        <v>85.29664660361135</v>
      </c>
      <c r="D73" s="15">
        <v>684</v>
      </c>
      <c r="E73" s="14">
        <v>49.03360326</v>
      </c>
      <c r="F73" s="16">
        <v>2.37252807</v>
      </c>
      <c r="G73" s="14">
        <v>50.96639674</v>
      </c>
      <c r="H73" s="16">
        <v>2.37252807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(2526/B75*100)</f>
        <v>85.079151229370154</v>
      </c>
      <c r="D75" s="15">
        <v>443</v>
      </c>
      <c r="E75" s="14">
        <v>68.284108160000002</v>
      </c>
      <c r="F75" s="16">
        <v>2.1952048199999998</v>
      </c>
      <c r="G75" s="14">
        <v>31.715891840000001</v>
      </c>
      <c r="H75" s="16">
        <v>2.1952048199999998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(5923/B76*100)</f>
        <v>83.246661981728749</v>
      </c>
      <c r="D76" s="15">
        <v>1192</v>
      </c>
      <c r="E76" s="14">
        <v>52.394471000000003</v>
      </c>
      <c r="F76" s="16">
        <v>2.0793947500000001</v>
      </c>
      <c r="G76" s="14">
        <v>47.605528999999997</v>
      </c>
      <c r="H76" s="16">
        <v>2.0793947500000001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(2663/B77*100)</f>
        <v>84.432466708941021</v>
      </c>
      <c r="D77" s="15">
        <v>491</v>
      </c>
      <c r="E77" s="14">
        <v>60.297261349999999</v>
      </c>
      <c r="F77" s="16">
        <v>2.0267820300000001</v>
      </c>
      <c r="G77" s="14">
        <v>39.702738650000001</v>
      </c>
      <c r="H77" s="16">
        <v>2.0267820300000001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(3902/B81*100)</f>
        <v>83.056619838229025</v>
      </c>
      <c r="D81" s="15">
        <v>796</v>
      </c>
      <c r="E81" s="14">
        <v>62.037531569999999</v>
      </c>
      <c r="F81" s="16">
        <v>2.07013406</v>
      </c>
      <c r="G81" s="14">
        <v>37.962468430000001</v>
      </c>
      <c r="H81" s="16">
        <v>2.07013406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(6012/B7*100)</f>
        <v>83.931313695379032</v>
      </c>
      <c r="D7" s="15">
        <v>1151</v>
      </c>
      <c r="E7" s="14">
        <v>5.0420430100000004</v>
      </c>
      <c r="F7" s="16">
        <v>0.95916427999999998</v>
      </c>
      <c r="G7" s="14">
        <v>94.95795699</v>
      </c>
      <c r="H7" s="16">
        <v>0.95916427999999998</v>
      </c>
      <c r="I7" s="14" t="s">
        <v>139</v>
      </c>
      <c r="J7" s="16" t="s">
        <v>139</v>
      </c>
      <c r="K7" s="14">
        <v>0</v>
      </c>
      <c r="L7" s="16">
        <v>0</v>
      </c>
      <c r="M7" s="14">
        <v>0</v>
      </c>
      <c r="N7" s="16">
        <v>0</v>
      </c>
      <c r="O7" s="14">
        <v>0</v>
      </c>
      <c r="P7" s="16">
        <v>0</v>
      </c>
      <c r="Q7" s="14">
        <v>0</v>
      </c>
      <c r="R7" s="16">
        <v>0</v>
      </c>
    </row>
    <row r="8" spans="1:18" x14ac:dyDescent="0.25">
      <c r="A8" s="11" t="s">
        <v>140</v>
      </c>
      <c r="B8" s="13">
        <v>3443</v>
      </c>
      <c r="C8" s="14">
        <f>(2881/B8*100)</f>
        <v>83.677025849549807</v>
      </c>
      <c r="D8" s="15">
        <v>562</v>
      </c>
      <c r="E8" s="14">
        <v>10.50573837</v>
      </c>
      <c r="F8" s="16">
        <v>1.7588261199999999</v>
      </c>
      <c r="G8" s="14">
        <v>89.494261629999997</v>
      </c>
      <c r="H8" s="16">
        <v>1.7588261199999999</v>
      </c>
      <c r="I8" s="14" t="s">
        <v>139</v>
      </c>
      <c r="J8" s="16" t="s">
        <v>139</v>
      </c>
      <c r="K8" s="14">
        <v>0</v>
      </c>
      <c r="L8" s="16">
        <v>0</v>
      </c>
      <c r="M8" s="14">
        <v>0</v>
      </c>
      <c r="N8" s="16">
        <v>0</v>
      </c>
      <c r="O8" s="14">
        <v>0</v>
      </c>
      <c r="P8" s="16">
        <v>0</v>
      </c>
      <c r="Q8" s="14">
        <v>0</v>
      </c>
      <c r="R8" s="16">
        <v>0</v>
      </c>
    </row>
    <row r="9" spans="1:18" x14ac:dyDescent="0.25">
      <c r="A9" s="11" t="s">
        <v>141</v>
      </c>
      <c r="B9" s="13">
        <v>4752</v>
      </c>
      <c r="C9" s="14">
        <f>(3969/B9*100)</f>
        <v>83.522727272727266</v>
      </c>
      <c r="D9" s="15">
        <v>783</v>
      </c>
      <c r="E9" s="14">
        <v>6.8324002699999999</v>
      </c>
      <c r="F9" s="16">
        <v>0.95477679999999998</v>
      </c>
      <c r="G9" s="14">
        <v>93.167599730000006</v>
      </c>
      <c r="H9" s="16">
        <v>0.95477679999999998</v>
      </c>
      <c r="I9" s="14" t="s">
        <v>139</v>
      </c>
      <c r="J9" s="16" t="s">
        <v>139</v>
      </c>
      <c r="K9" s="14">
        <v>0</v>
      </c>
      <c r="L9" s="16">
        <v>0</v>
      </c>
      <c r="M9" s="14">
        <v>0</v>
      </c>
      <c r="N9" s="16">
        <v>0</v>
      </c>
      <c r="O9" s="14">
        <v>0</v>
      </c>
      <c r="P9" s="16">
        <v>0</v>
      </c>
      <c r="Q9" s="14">
        <v>0</v>
      </c>
      <c r="R9" s="16">
        <v>0</v>
      </c>
    </row>
    <row r="10" spans="1:18" x14ac:dyDescent="0.25">
      <c r="A10" s="11" t="s">
        <v>142</v>
      </c>
      <c r="B10" s="13">
        <v>10022</v>
      </c>
      <c r="C10" s="14">
        <f>(8304/B10*100)</f>
        <v>82.857713031331073</v>
      </c>
      <c r="D10" s="15">
        <v>1718</v>
      </c>
      <c r="E10" s="14">
        <v>4.0611066600000001</v>
      </c>
      <c r="F10" s="16">
        <v>0.62322604000000004</v>
      </c>
      <c r="G10" s="14">
        <v>95.938893340000007</v>
      </c>
      <c r="H10" s="16">
        <v>0.62322604000000004</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(2938/B11*100)</f>
        <v>83.942857142857136</v>
      </c>
      <c r="D11" s="15">
        <v>562</v>
      </c>
      <c r="E11" s="14">
        <v>11.87219567</v>
      </c>
      <c r="F11" s="16">
        <v>1.57699938</v>
      </c>
      <c r="G11" s="14">
        <v>88.127804330000004</v>
      </c>
      <c r="H11" s="16">
        <v>1.57699938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(2871/B12*100)</f>
        <v>83.898305084745758</v>
      </c>
      <c r="D12" s="15">
        <v>551</v>
      </c>
      <c r="E12" s="14">
        <v>7.8739825999999997</v>
      </c>
      <c r="F12" s="16">
        <v>1.47882951</v>
      </c>
      <c r="G12" s="14">
        <v>92.126017399999995</v>
      </c>
      <c r="H12" s="16">
        <v>1.47882951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(3033/B13*100)</f>
        <v>84.203220433092724</v>
      </c>
      <c r="D13" s="15">
        <v>569</v>
      </c>
      <c r="E13" s="14">
        <v>6.0146249699999998</v>
      </c>
      <c r="F13" s="16">
        <v>1.0316414700000001</v>
      </c>
      <c r="G13" s="14">
        <v>93.98537503</v>
      </c>
      <c r="H13" s="16">
        <v>1.0316414700000001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(2322/B14*100)</f>
        <v>83.285509325681488</v>
      </c>
      <c r="D14" s="15">
        <v>466</v>
      </c>
      <c r="E14" s="14">
        <v>5.1227259600000004</v>
      </c>
      <c r="F14" s="16">
        <v>1.13069518</v>
      </c>
      <c r="G14" s="14">
        <v>94.877274040000003</v>
      </c>
      <c r="H14" s="16">
        <v>1.13069518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3.5396366600000002</v>
      </c>
      <c r="F15" s="16">
        <v>1.03342534</v>
      </c>
      <c r="G15" s="14">
        <v>96.460363340000001</v>
      </c>
      <c r="H15" s="16">
        <v>1.03342534</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(2585/B16*100)</f>
        <v>83.092253294760525</v>
      </c>
      <c r="D16" s="15">
        <v>526</v>
      </c>
      <c r="E16" s="14">
        <v>7.2710867800000001</v>
      </c>
      <c r="F16" s="16">
        <v>0.96405578999999997</v>
      </c>
      <c r="G16" s="14">
        <v>92.728913219999995</v>
      </c>
      <c r="H16" s="16">
        <v>0.96405578999999997</v>
      </c>
      <c r="I16" s="14" t="s">
        <v>139</v>
      </c>
      <c r="J16" s="16" t="s">
        <v>139</v>
      </c>
      <c r="K16" s="14">
        <v>0</v>
      </c>
      <c r="L16" s="16">
        <v>0</v>
      </c>
      <c r="M16" s="14">
        <v>0</v>
      </c>
      <c r="N16" s="16">
        <v>0</v>
      </c>
      <c r="O16" s="14">
        <v>0</v>
      </c>
      <c r="P16" s="16">
        <v>0</v>
      </c>
      <c r="Q16" s="14">
        <v>0</v>
      </c>
      <c r="R16" s="16">
        <v>0</v>
      </c>
    </row>
    <row r="17" spans="1:18" x14ac:dyDescent="0.25">
      <c r="A17" s="11" t="s">
        <v>149</v>
      </c>
      <c r="B17" s="13">
        <v>3197</v>
      </c>
      <c r="C17" s="14">
        <f>(2666/B17*100)</f>
        <v>83.390678761338748</v>
      </c>
      <c r="D17" s="15">
        <v>531</v>
      </c>
      <c r="E17" s="14">
        <v>7.3193569500000004</v>
      </c>
      <c r="F17" s="16">
        <v>1.29160444</v>
      </c>
      <c r="G17" s="14">
        <v>92.68064305</v>
      </c>
      <c r="H17" s="16">
        <v>1.29160444</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(2241/B18*100)</f>
        <v>82.815964523281593</v>
      </c>
      <c r="D18" s="15">
        <v>465</v>
      </c>
      <c r="E18" s="14">
        <v>13.48559742</v>
      </c>
      <c r="F18" s="16">
        <v>1.79538032</v>
      </c>
      <c r="G18" s="14">
        <v>86.514402579999995</v>
      </c>
      <c r="H18" s="16">
        <v>1.79538032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(2391/B19*100)</f>
        <v>83.89473684210526</v>
      </c>
      <c r="D19" s="15">
        <v>459</v>
      </c>
      <c r="E19" s="14">
        <v>8.6778417999999995</v>
      </c>
      <c r="F19" s="16">
        <v>1.3657042800000001</v>
      </c>
      <c r="G19" s="14">
        <v>91.322158200000004</v>
      </c>
      <c r="H19" s="16">
        <v>1.3657042800000001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(1461/B20*100)</f>
        <v>83.917288914417</v>
      </c>
      <c r="D20" s="15">
        <v>280</v>
      </c>
      <c r="E20" s="14">
        <v>6.0463740000000001</v>
      </c>
      <c r="F20" s="16">
        <v>1.4438453499999999</v>
      </c>
      <c r="G20" s="14">
        <v>93.953626</v>
      </c>
      <c r="H20" s="16">
        <v>1.4438453499999999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(3139/B22*100)</f>
        <v>85.601308971911649</v>
      </c>
      <c r="D22" s="15">
        <v>528</v>
      </c>
      <c r="E22" s="14">
        <v>13.84427895</v>
      </c>
      <c r="F22" s="16">
        <v>1.6414332899999999</v>
      </c>
      <c r="G22" s="14">
        <v>86.155721049999997</v>
      </c>
      <c r="H22" s="16">
        <v>1.6414332899999999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(4827/B23*100)</f>
        <v>83.33908839779005</v>
      </c>
      <c r="D23" s="15">
        <v>965</v>
      </c>
      <c r="E23" s="14">
        <v>11.314056389999999</v>
      </c>
      <c r="F23" s="16">
        <v>1.8340466099999999</v>
      </c>
      <c r="G23" s="14">
        <v>88.685943609999995</v>
      </c>
      <c r="H23" s="16">
        <v>1.8340466099999999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(2750/B24*100)</f>
        <v>83.106678754910845</v>
      </c>
      <c r="D24" s="15">
        <v>559</v>
      </c>
      <c r="E24" s="14">
        <v>8.8028442200000008</v>
      </c>
      <c r="F24" s="16">
        <v>1.23439052</v>
      </c>
      <c r="G24" s="14">
        <v>91.197155780000003</v>
      </c>
      <c r="H24" s="16">
        <v>1.23439052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7.1020811500000001</v>
      </c>
      <c r="F25" s="16">
        <v>1.16242274</v>
      </c>
      <c r="G25" s="14">
        <v>92.897918849999996</v>
      </c>
      <c r="H25" s="16">
        <v>1.16242274</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(2004/B26*100)</f>
        <v>82.844150475403055</v>
      </c>
      <c r="D26" s="15">
        <v>415</v>
      </c>
      <c r="E26" s="14">
        <v>7.2851341999999999</v>
      </c>
      <c r="F26" s="16">
        <v>1.42819349</v>
      </c>
      <c r="G26" s="14">
        <v>92.714865799999998</v>
      </c>
      <c r="H26" s="16">
        <v>1.42819349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(2258/B27*100)</f>
        <v>84.159522922102127</v>
      </c>
      <c r="D27" s="15">
        <v>425</v>
      </c>
      <c r="E27" s="14">
        <v>7.0807340200000004</v>
      </c>
      <c r="F27" s="16">
        <v>1.33712626</v>
      </c>
      <c r="G27" s="14">
        <v>92.919265980000006</v>
      </c>
      <c r="H27" s="16">
        <v>1.33712626</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(3281/B28*100)</f>
        <v>86.273994215093353</v>
      </c>
      <c r="D28" s="15">
        <v>522</v>
      </c>
      <c r="E28" s="14">
        <v>17.939298569999998</v>
      </c>
      <c r="F28" s="16">
        <v>2.0117807299999999</v>
      </c>
      <c r="G28" s="14">
        <v>82.060701429999995</v>
      </c>
      <c r="H28" s="16">
        <v>2.0117807299999999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8.3160370799999992</v>
      </c>
      <c r="F29" s="16">
        <v>1.0850796700000001</v>
      </c>
      <c r="G29" s="14">
        <v>91.683962919999999</v>
      </c>
      <c r="H29" s="16">
        <v>1.0850796700000001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(1897/B30*100)</f>
        <v>84.049623393885682</v>
      </c>
      <c r="D30" s="15">
        <v>360</v>
      </c>
      <c r="E30" s="14">
        <v>4.7996912399999996</v>
      </c>
      <c r="F30" s="16">
        <v>1.3116431799999999</v>
      </c>
      <c r="G30" s="14">
        <v>95.200308759999999</v>
      </c>
      <c r="H30" s="16">
        <v>1.3116431799999999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(2263/B31*100)</f>
        <v>83.628972653362894</v>
      </c>
      <c r="D31" s="15">
        <v>443</v>
      </c>
      <c r="E31" s="14">
        <v>5.4392306000000001</v>
      </c>
      <c r="F31" s="16">
        <v>1.06068914</v>
      </c>
      <c r="G31" s="14">
        <v>94.560769399999998</v>
      </c>
      <c r="H31" s="16">
        <v>1.06068914</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(3082/B33*100)</f>
        <v>84.415228704464525</v>
      </c>
      <c r="D33" s="15">
        <v>569</v>
      </c>
      <c r="E33" s="14">
        <v>6.8869878699999996</v>
      </c>
      <c r="F33" s="16">
        <v>1.1332088899999999</v>
      </c>
      <c r="G33" s="14">
        <v>93.113012130000001</v>
      </c>
      <c r="H33" s="16">
        <v>1.1332088899999999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(2575/B34*100)</f>
        <v>84.843492586490939</v>
      </c>
      <c r="D34" s="15">
        <v>460</v>
      </c>
      <c r="E34" s="14">
        <v>10.53801591</v>
      </c>
      <c r="F34" s="16">
        <v>1.57382592</v>
      </c>
      <c r="G34" s="14">
        <v>89.461984090000001</v>
      </c>
      <c r="H34" s="16">
        <v>1.57382592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(2403/B35*100)</f>
        <v>82.833505687693901</v>
      </c>
      <c r="D35" s="15">
        <v>498</v>
      </c>
      <c r="E35" s="14">
        <v>6.1139607199999997</v>
      </c>
      <c r="F35" s="16">
        <v>1.6996735599999999</v>
      </c>
      <c r="G35" s="14">
        <v>93.886039280000006</v>
      </c>
      <c r="H35" s="16">
        <v>1.6996735599999999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(2858/B36*100)</f>
        <v>83.960047003525261</v>
      </c>
      <c r="D36" s="15">
        <v>546</v>
      </c>
      <c r="E36" s="14">
        <v>5.9651909500000002</v>
      </c>
      <c r="F36" s="16">
        <v>1.07449471</v>
      </c>
      <c r="G36" s="14">
        <v>94.034809050000007</v>
      </c>
      <c r="H36" s="16">
        <v>1.07449471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(2321/B37*100)</f>
        <v>84.98718418161846</v>
      </c>
      <c r="D37" s="15">
        <v>410</v>
      </c>
      <c r="E37" s="14">
        <v>9.7223935499999996</v>
      </c>
      <c r="F37" s="16">
        <v>1.44330285</v>
      </c>
      <c r="G37" s="14">
        <v>90.277606449999993</v>
      </c>
      <c r="H37" s="16">
        <v>1.44330285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(2415/B39*100)</f>
        <v>82.198774676650785</v>
      </c>
      <c r="D39" s="15">
        <v>523</v>
      </c>
      <c r="E39" s="14">
        <v>24.78077279</v>
      </c>
      <c r="F39" s="16">
        <v>1.91593342</v>
      </c>
      <c r="G39" s="14">
        <v>75.21922721</v>
      </c>
      <c r="H39" s="16">
        <v>1.91593342</v>
      </c>
      <c r="I39" s="14" t="s">
        <v>139</v>
      </c>
      <c r="J39" s="16" t="s">
        <v>139</v>
      </c>
      <c r="K39" s="14">
        <v>0</v>
      </c>
      <c r="L39" s="16">
        <v>0</v>
      </c>
      <c r="M39" s="14">
        <v>0</v>
      </c>
      <c r="N39" s="16">
        <v>0</v>
      </c>
      <c r="O39" s="14">
        <v>0</v>
      </c>
      <c r="P39" s="16">
        <v>0</v>
      </c>
      <c r="Q39" s="14">
        <v>0</v>
      </c>
      <c r="R39" s="16">
        <v>0</v>
      </c>
    </row>
    <row r="40" spans="1:18" x14ac:dyDescent="0.25">
      <c r="A40" s="11" t="s">
        <v>173</v>
      </c>
      <c r="B40" s="13">
        <v>6922</v>
      </c>
      <c r="C40" s="14">
        <f>(5689/B40*100)</f>
        <v>82.187229124530475</v>
      </c>
      <c r="D40" s="15">
        <v>1233</v>
      </c>
      <c r="E40" s="14">
        <v>7.7068739099999997</v>
      </c>
      <c r="F40" s="16">
        <v>1.23567194</v>
      </c>
      <c r="G40" s="14">
        <v>92.293126090000001</v>
      </c>
      <c r="H40" s="16">
        <v>1.23567194</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(2389/B41*100)</f>
        <v>83.707077785564124</v>
      </c>
      <c r="D41" s="15">
        <v>465</v>
      </c>
      <c r="E41" s="14">
        <v>6.4158477899999999</v>
      </c>
      <c r="F41" s="16">
        <v>1.2444642400000001</v>
      </c>
      <c r="G41" s="14">
        <v>93.584152209999999</v>
      </c>
      <c r="H41" s="16">
        <v>1.2444642400000001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83.692868392788796</v>
      </c>
      <c r="D42" s="15">
        <f>IF(COUNT(D7:D41) &gt; 0, AVERAGE(D7:D41), "—")</f>
        <v>591.4375</v>
      </c>
      <c r="E42" s="14">
        <f>IF(COUNT(E7:E41) &gt; 0, AVERAGE(E7:E41), "—")</f>
        <v>8.5536919071874991</v>
      </c>
      <c r="F42" s="16">
        <f>IF(COUNT(F7:F41) &gt; 0, SQRT(SUMSQ(F7:F41)/(COUNT(F7:F41)*COUNT(F7:F41)) ), "—")</f>
        <v>0.24333639745507296</v>
      </c>
      <c r="G42" s="14">
        <f>IF(COUNT(G7:G41) &gt; 0, AVERAGE(G7:G41), "—")</f>
        <v>91.446308092812515</v>
      </c>
      <c r="H42" s="16">
        <f>IF(COUNT(H7:H41) &gt; 0, SQRT(SUMSQ(H7:H41)/(COUNT(H7:H41)*COUNT(H7:H41)) ), "—")</f>
        <v>0.24333639745507296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(10701/B46*100)</f>
        <v>88.635798890085312</v>
      </c>
      <c r="D46" s="15">
        <v>1372</v>
      </c>
      <c r="E46" s="14">
        <v>19.73393695</v>
      </c>
      <c r="F46" s="16">
        <v>1.68902828</v>
      </c>
      <c r="G46" s="14">
        <v>80.26606305</v>
      </c>
      <c r="H46" s="16">
        <v>1.68902828</v>
      </c>
      <c r="I46" s="14" t="s">
        <v>139</v>
      </c>
      <c r="J46" s="16" t="s">
        <v>139</v>
      </c>
      <c r="K46" s="14">
        <v>0</v>
      </c>
      <c r="L46" s="16">
        <v>0</v>
      </c>
      <c r="M46" s="14">
        <v>0</v>
      </c>
      <c r="N46" s="16">
        <v>0</v>
      </c>
      <c r="O46" s="14">
        <v>0</v>
      </c>
      <c r="P46" s="16">
        <v>0</v>
      </c>
      <c r="Q46" s="14">
        <v>0</v>
      </c>
      <c r="R46" s="16">
        <v>0</v>
      </c>
    </row>
    <row r="47" spans="1:18" x14ac:dyDescent="0.25">
      <c r="A47" s="11" t="s">
        <v>180</v>
      </c>
      <c r="B47" s="13">
        <v>2823</v>
      </c>
      <c r="C47" s="14">
        <f>(2388/B47*100)</f>
        <v>84.590860786397442</v>
      </c>
      <c r="D47" s="15">
        <v>435</v>
      </c>
      <c r="E47" s="14">
        <v>13.86438482</v>
      </c>
      <c r="F47" s="16">
        <v>1.77388105</v>
      </c>
      <c r="G47" s="14">
        <v>86.135615180000002</v>
      </c>
      <c r="H47" s="16">
        <v>1.77388105</v>
      </c>
      <c r="I47" s="14" t="s">
        <v>139</v>
      </c>
      <c r="J47" s="16" t="s">
        <v>139</v>
      </c>
      <c r="K47" s="14">
        <v>0</v>
      </c>
      <c r="L47" s="16">
        <v>0</v>
      </c>
      <c r="M47" s="14">
        <v>0</v>
      </c>
      <c r="N47" s="16">
        <v>0</v>
      </c>
      <c r="O47" s="14">
        <v>0</v>
      </c>
      <c r="P47" s="16">
        <v>0</v>
      </c>
      <c r="Q47" s="14">
        <v>0</v>
      </c>
      <c r="R47" s="16">
        <v>0</v>
      </c>
    </row>
    <row r="48" spans="1:18" x14ac:dyDescent="0.25">
      <c r="A48" s="11" t="s">
        <v>181</v>
      </c>
      <c r="B48" s="13">
        <v>4682</v>
      </c>
      <c r="C48" s="14">
        <f>(3866/B48*100)</f>
        <v>82.57155061939342</v>
      </c>
      <c r="D48" s="15">
        <v>816</v>
      </c>
      <c r="E48" s="14">
        <v>8.8990425999999996</v>
      </c>
      <c r="F48" s="16">
        <v>1.48931283</v>
      </c>
      <c r="G48" s="14">
        <v>91.100957399999999</v>
      </c>
      <c r="H48" s="16">
        <v>1.48931283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(5222/B50*100)</f>
        <v>84.800259824618379</v>
      </c>
      <c r="D50" s="15">
        <v>936</v>
      </c>
      <c r="E50" s="14">
        <v>17.531175080000001</v>
      </c>
      <c r="F50" s="16">
        <v>1.5880541500000001</v>
      </c>
      <c r="G50" s="14">
        <v>82.468824920000003</v>
      </c>
      <c r="H50" s="16">
        <v>1.5880541500000001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(3022/B51*100)</f>
        <v>86.491127647395544</v>
      </c>
      <c r="D51" s="15">
        <v>472</v>
      </c>
      <c r="E51" s="14">
        <v>11.079782789999999</v>
      </c>
      <c r="F51" s="16">
        <v>1.66616629</v>
      </c>
      <c r="G51" s="14">
        <v>88.920217210000004</v>
      </c>
      <c r="H51" s="16">
        <v>1.66616629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(2509/B52*100)</f>
        <v>83.272485894457347</v>
      </c>
      <c r="D52" s="15">
        <v>504</v>
      </c>
      <c r="E52" s="14">
        <v>12.07077877</v>
      </c>
      <c r="F52" s="16">
        <v>1.49918492</v>
      </c>
      <c r="G52" s="14">
        <v>87.929221229999996</v>
      </c>
      <c r="H52" s="16">
        <v>1.49918492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(2292/B53*100)</f>
        <v>83.043478260869563</v>
      </c>
      <c r="D53" s="15">
        <v>468</v>
      </c>
      <c r="E53" s="14">
        <v>15.952298710000001</v>
      </c>
      <c r="F53" s="16">
        <v>2.0223073199999999</v>
      </c>
      <c r="G53" s="14">
        <v>84.047701290000006</v>
      </c>
      <c r="H53" s="16">
        <v>2.0223073199999999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(2206/B56*100)</f>
        <v>82.467289719626166</v>
      </c>
      <c r="D56" s="15">
        <v>469</v>
      </c>
      <c r="E56" s="14">
        <v>4.1409233800000003</v>
      </c>
      <c r="F56" s="16">
        <v>0.98466593999999996</v>
      </c>
      <c r="G56" s="14">
        <v>95.859076619999996</v>
      </c>
      <c r="H56" s="16">
        <v>0.98466593999999996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(2668/B61*100)</f>
        <v>83.348953452046231</v>
      </c>
      <c r="D61" s="15">
        <v>533</v>
      </c>
      <c r="E61" s="14">
        <v>6.5068419899999999</v>
      </c>
      <c r="F61" s="16">
        <v>1.10639642</v>
      </c>
      <c r="G61" s="14">
        <v>93.493158010000002</v>
      </c>
      <c r="H61" s="16">
        <v>1.10639642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(1845/B62*100)</f>
        <v>82.735426008968602</v>
      </c>
      <c r="D62" s="15">
        <v>385</v>
      </c>
      <c r="E62" s="14">
        <v>2.8389997299999998</v>
      </c>
      <c r="F62" s="16">
        <v>0.83473240000000004</v>
      </c>
      <c r="G62" s="14">
        <v>97.161000270000002</v>
      </c>
      <c r="H62" s="16">
        <v>0.83473240000000004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(2332/B66*100)</f>
        <v>84.157343919162756</v>
      </c>
      <c r="D66" s="15">
        <v>439</v>
      </c>
      <c r="E66" s="14">
        <v>22.45868737</v>
      </c>
      <c r="F66" s="16">
        <v>1.72722865</v>
      </c>
      <c r="G66" s="14">
        <v>77.541312629999993</v>
      </c>
      <c r="H66" s="16">
        <v>1.72722865</v>
      </c>
      <c r="I66" s="14" t="s">
        <v>139</v>
      </c>
      <c r="J66" s="16" t="s">
        <v>139</v>
      </c>
      <c r="K66" s="14">
        <v>0</v>
      </c>
      <c r="L66" s="16">
        <v>0</v>
      </c>
      <c r="M66" s="14">
        <v>0</v>
      </c>
      <c r="N66" s="16">
        <v>0</v>
      </c>
      <c r="O66" s="14">
        <v>0</v>
      </c>
      <c r="P66" s="16">
        <v>0</v>
      </c>
      <c r="Q66" s="14">
        <v>0</v>
      </c>
      <c r="R66" s="16">
        <v>0</v>
      </c>
    </row>
    <row r="67" spans="1:18" x14ac:dyDescent="0.25">
      <c r="A67" s="11" t="s">
        <v>200</v>
      </c>
      <c r="B67" s="13">
        <v>3460</v>
      </c>
      <c r="C67" s="14">
        <f>(2997/B67*100)</f>
        <v>86.618497109826592</v>
      </c>
      <c r="D67" s="15">
        <v>463</v>
      </c>
      <c r="E67" s="14">
        <v>19.222416429999999</v>
      </c>
      <c r="F67" s="16">
        <v>2.0784087900000001</v>
      </c>
      <c r="G67" s="14">
        <v>80.777583570000004</v>
      </c>
      <c r="H67" s="16">
        <v>2.0784087900000001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(2611/B70*100)</f>
        <v>84.036047634373986</v>
      </c>
      <c r="D70" s="15">
        <v>496</v>
      </c>
      <c r="E70" s="14">
        <v>8.9040759000000005</v>
      </c>
      <c r="F70" s="16">
        <v>1.1864045000000001</v>
      </c>
      <c r="G70" s="14">
        <v>91.095924100000005</v>
      </c>
      <c r="H70" s="16">
        <v>1.1864045000000001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(3168/B72*100)</f>
        <v>82.953652788688132</v>
      </c>
      <c r="D72" s="15">
        <v>651</v>
      </c>
      <c r="E72" s="14">
        <v>4.3189451400000003</v>
      </c>
      <c r="F72" s="16">
        <v>0.84299661000000004</v>
      </c>
      <c r="G72" s="14">
        <v>95.681054860000003</v>
      </c>
      <c r="H72" s="16">
        <v>0.84299661000000004</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(3968/B73*100)</f>
        <v>85.29664660361135</v>
      </c>
      <c r="D73" s="15">
        <v>684</v>
      </c>
      <c r="E73" s="14">
        <v>18.368239880000001</v>
      </c>
      <c r="F73" s="16">
        <v>1.99836072</v>
      </c>
      <c r="G73" s="14">
        <v>81.631760119999996</v>
      </c>
      <c r="H73" s="16">
        <v>1.99836072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(2526/B75*100)</f>
        <v>85.079151229370154</v>
      </c>
      <c r="D75" s="15">
        <v>443</v>
      </c>
      <c r="E75" s="14">
        <v>31.776371470000001</v>
      </c>
      <c r="F75" s="16">
        <v>2.3383342499999999</v>
      </c>
      <c r="G75" s="14">
        <v>68.223628529999999</v>
      </c>
      <c r="H75" s="16">
        <v>2.3383342499999999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(5923/B76*100)</f>
        <v>83.246661981728749</v>
      </c>
      <c r="D76" s="15">
        <v>1192</v>
      </c>
      <c r="E76" s="14">
        <v>16.907956899999999</v>
      </c>
      <c r="F76" s="16">
        <v>1.3115649199999999</v>
      </c>
      <c r="G76" s="14">
        <v>83.092043099999998</v>
      </c>
      <c r="H76" s="16">
        <v>1.3115649199999999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(2663/B77*100)</f>
        <v>84.432466708941021</v>
      </c>
      <c r="D77" s="15">
        <v>491</v>
      </c>
      <c r="E77" s="14">
        <v>11.901843209999999</v>
      </c>
      <c r="F77" s="16">
        <v>1.41852336</v>
      </c>
      <c r="G77" s="14">
        <v>88.098156790000004</v>
      </c>
      <c r="H77" s="16">
        <v>1.41852336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(3902/B81*100)</f>
        <v>83.056619838229025</v>
      </c>
      <c r="D81" s="15">
        <v>796</v>
      </c>
      <c r="E81" s="14">
        <v>15.91554245</v>
      </c>
      <c r="F81" s="16">
        <v>1.6532361799999999</v>
      </c>
      <c r="G81" s="14">
        <v>84.084457549999996</v>
      </c>
      <c r="H81" s="16">
        <v>1.6532361799999999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270</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(6012/B7*100)</f>
        <v>83.931313695379032</v>
      </c>
      <c r="D7" s="15">
        <v>1151</v>
      </c>
      <c r="E7" s="14">
        <v>15.179195379999999</v>
      </c>
      <c r="F7" s="16">
        <v>1.3050977699999999</v>
      </c>
      <c r="G7" s="14">
        <v>20.40603449</v>
      </c>
      <c r="H7" s="16">
        <v>1.5626520399999999</v>
      </c>
      <c r="I7" s="14">
        <v>64.414770140000002</v>
      </c>
      <c r="J7" s="16">
        <v>1.79072038</v>
      </c>
      <c r="K7" s="14" t="s">
        <v>139</v>
      </c>
      <c r="L7" s="16" t="s">
        <v>139</v>
      </c>
      <c r="M7" s="14">
        <v>0</v>
      </c>
      <c r="N7" s="16">
        <v>0</v>
      </c>
      <c r="O7" s="14">
        <v>0</v>
      </c>
      <c r="P7" s="16">
        <v>0</v>
      </c>
      <c r="Q7" s="14">
        <v>0</v>
      </c>
      <c r="R7" s="16">
        <v>0</v>
      </c>
      <c r="S7" s="14">
        <v>0</v>
      </c>
      <c r="T7" s="16">
        <v>0</v>
      </c>
    </row>
    <row r="8" spans="1:20" x14ac:dyDescent="0.25">
      <c r="A8" s="11" t="s">
        <v>140</v>
      </c>
      <c r="B8" s="13">
        <v>3443</v>
      </c>
      <c r="C8" s="14">
        <f>(2881/B8*100)</f>
        <v>83.677025849549807</v>
      </c>
      <c r="D8" s="15">
        <v>562</v>
      </c>
      <c r="E8" s="14">
        <v>23.04684821</v>
      </c>
      <c r="F8" s="16">
        <v>2.0330260400000002</v>
      </c>
      <c r="G8" s="14">
        <v>25.504213889999999</v>
      </c>
      <c r="H8" s="16">
        <v>1.9195376099999999</v>
      </c>
      <c r="I8" s="14">
        <v>51.448937899999997</v>
      </c>
      <c r="J8" s="16">
        <v>2.2322642699999999</v>
      </c>
      <c r="K8" s="14" t="s">
        <v>139</v>
      </c>
      <c r="L8" s="16" t="s">
        <v>139</v>
      </c>
      <c r="M8" s="14">
        <v>0</v>
      </c>
      <c r="N8" s="16">
        <v>0</v>
      </c>
      <c r="O8" s="14">
        <v>0</v>
      </c>
      <c r="P8" s="16">
        <v>0</v>
      </c>
      <c r="Q8" s="14">
        <v>0</v>
      </c>
      <c r="R8" s="16">
        <v>0</v>
      </c>
      <c r="S8" s="14">
        <v>0</v>
      </c>
      <c r="T8" s="16">
        <v>0</v>
      </c>
    </row>
    <row r="9" spans="1:20" x14ac:dyDescent="0.25">
      <c r="A9" s="11" t="s">
        <v>141</v>
      </c>
      <c r="B9" s="13">
        <v>4752</v>
      </c>
      <c r="C9" s="14">
        <f>(3969/B9*100)</f>
        <v>83.522727272727266</v>
      </c>
      <c r="D9" s="15">
        <v>783</v>
      </c>
      <c r="E9" s="14">
        <v>21.438336110000002</v>
      </c>
      <c r="F9" s="16">
        <v>1.48151616</v>
      </c>
      <c r="G9" s="14">
        <v>27.726501939999999</v>
      </c>
      <c r="H9" s="16">
        <v>1.6380656199999999</v>
      </c>
      <c r="I9" s="14">
        <v>50.835161960000001</v>
      </c>
      <c r="J9" s="16">
        <v>1.9093959199999999</v>
      </c>
      <c r="K9" s="14" t="s">
        <v>139</v>
      </c>
      <c r="L9" s="16" t="s">
        <v>139</v>
      </c>
      <c r="M9" s="14">
        <v>0</v>
      </c>
      <c r="N9" s="16">
        <v>0</v>
      </c>
      <c r="O9" s="14">
        <v>0</v>
      </c>
      <c r="P9" s="16">
        <v>0</v>
      </c>
      <c r="Q9" s="14">
        <v>0</v>
      </c>
      <c r="R9" s="16">
        <v>0</v>
      </c>
      <c r="S9" s="14">
        <v>0</v>
      </c>
      <c r="T9" s="16">
        <v>0</v>
      </c>
    </row>
    <row r="10" spans="1:20" x14ac:dyDescent="0.25">
      <c r="A10" s="11" t="s">
        <v>142</v>
      </c>
      <c r="B10" s="13">
        <v>10022</v>
      </c>
      <c r="C10" s="14">
        <f>(8304/B10*100)</f>
        <v>82.857713031331073</v>
      </c>
      <c r="D10" s="15">
        <v>1718</v>
      </c>
      <c r="E10" s="14">
        <v>14.830119420000001</v>
      </c>
      <c r="F10" s="16">
        <v>1.21309</v>
      </c>
      <c r="G10" s="14">
        <v>20.03759136</v>
      </c>
      <c r="H10" s="16">
        <v>1.1651735700000001</v>
      </c>
      <c r="I10" s="14">
        <v>65.132289220000004</v>
      </c>
      <c r="J10" s="16">
        <v>1.5628391399999999</v>
      </c>
      <c r="K10" s="14" t="s">
        <v>139</v>
      </c>
      <c r="L10" s="16" t="s">
        <v>139</v>
      </c>
      <c r="M10" s="14">
        <v>0</v>
      </c>
      <c r="N10" s="16">
        <v>0</v>
      </c>
      <c r="O10" s="14">
        <v>0</v>
      </c>
      <c r="P10" s="16">
        <v>0</v>
      </c>
      <c r="Q10" s="14">
        <v>0</v>
      </c>
      <c r="R10" s="16">
        <v>0</v>
      </c>
      <c r="S10" s="14">
        <v>0</v>
      </c>
      <c r="T10" s="16">
        <v>0</v>
      </c>
    </row>
    <row r="11" spans="1:20" x14ac:dyDescent="0.25">
      <c r="A11" s="11" t="s">
        <v>143</v>
      </c>
      <c r="B11" s="13">
        <v>3500</v>
      </c>
      <c r="C11" s="14">
        <f>(2938/B11*100)</f>
        <v>83.942857142857136</v>
      </c>
      <c r="D11" s="15">
        <v>562</v>
      </c>
      <c r="E11" s="14">
        <v>36.240108890000002</v>
      </c>
      <c r="F11" s="16">
        <v>2.3762878000000001</v>
      </c>
      <c r="G11" s="14">
        <v>26.65070935</v>
      </c>
      <c r="H11" s="16">
        <v>2.1275732600000001</v>
      </c>
      <c r="I11" s="14">
        <v>37.109181769999999</v>
      </c>
      <c r="J11" s="16">
        <v>1.98953366</v>
      </c>
      <c r="K11" s="14" t="s">
        <v>139</v>
      </c>
      <c r="L11" s="16" t="s">
        <v>139</v>
      </c>
      <c r="M11" s="14">
        <v>0</v>
      </c>
      <c r="N11" s="16">
        <v>0</v>
      </c>
      <c r="O11" s="14">
        <v>0</v>
      </c>
      <c r="P11" s="16">
        <v>0</v>
      </c>
      <c r="Q11" s="14">
        <v>0</v>
      </c>
      <c r="R11" s="16">
        <v>0</v>
      </c>
      <c r="S11" s="14">
        <v>0</v>
      </c>
      <c r="T11" s="16">
        <v>0</v>
      </c>
    </row>
    <row r="12" spans="1:20" x14ac:dyDescent="0.25">
      <c r="A12" s="11" t="s">
        <v>144</v>
      </c>
      <c r="B12" s="13">
        <v>3422</v>
      </c>
      <c r="C12" s="14">
        <f>(2871/B12*100)</f>
        <v>83.898305084745758</v>
      </c>
      <c r="D12" s="15">
        <v>551</v>
      </c>
      <c r="E12" s="14">
        <v>24.305103330000001</v>
      </c>
      <c r="F12" s="16">
        <v>2.15610488</v>
      </c>
      <c r="G12" s="14">
        <v>26.314807689999999</v>
      </c>
      <c r="H12" s="16">
        <v>1.95928883</v>
      </c>
      <c r="I12" s="14">
        <v>49.380088979999996</v>
      </c>
      <c r="J12" s="16">
        <v>2.4801055399999998</v>
      </c>
      <c r="K12" s="14" t="s">
        <v>139</v>
      </c>
      <c r="L12" s="16" t="s">
        <v>139</v>
      </c>
      <c r="M12" s="14">
        <v>0</v>
      </c>
      <c r="N12" s="16">
        <v>0</v>
      </c>
      <c r="O12" s="14">
        <v>0</v>
      </c>
      <c r="P12" s="16">
        <v>0</v>
      </c>
      <c r="Q12" s="14">
        <v>0</v>
      </c>
      <c r="R12" s="16">
        <v>0</v>
      </c>
      <c r="S12" s="14">
        <v>0</v>
      </c>
      <c r="T12" s="16">
        <v>0</v>
      </c>
    </row>
    <row r="13" spans="1:20" x14ac:dyDescent="0.25">
      <c r="A13" s="11" t="s">
        <v>145</v>
      </c>
      <c r="B13" s="13">
        <v>3602</v>
      </c>
      <c r="C13" s="14">
        <f>(3033/B13*100)</f>
        <v>84.203220433092724</v>
      </c>
      <c r="D13" s="15">
        <v>569</v>
      </c>
      <c r="E13" s="14">
        <v>18.182681949999999</v>
      </c>
      <c r="F13" s="16">
        <v>1.6171541</v>
      </c>
      <c r="G13" s="14">
        <v>21.53171554</v>
      </c>
      <c r="H13" s="16">
        <v>2.40484074</v>
      </c>
      <c r="I13" s="14">
        <v>60.285602509999997</v>
      </c>
      <c r="J13" s="16">
        <v>2.5817321899999999</v>
      </c>
      <c r="K13" s="14" t="s">
        <v>139</v>
      </c>
      <c r="L13" s="16" t="s">
        <v>139</v>
      </c>
      <c r="M13" s="14">
        <v>0</v>
      </c>
      <c r="N13" s="16">
        <v>0</v>
      </c>
      <c r="O13" s="14">
        <v>0</v>
      </c>
      <c r="P13" s="16">
        <v>0</v>
      </c>
      <c r="Q13" s="14">
        <v>0</v>
      </c>
      <c r="R13" s="16">
        <v>0</v>
      </c>
      <c r="S13" s="14">
        <v>0</v>
      </c>
      <c r="T13" s="16">
        <v>0</v>
      </c>
    </row>
    <row r="14" spans="1:20" x14ac:dyDescent="0.25">
      <c r="A14" s="11" t="s">
        <v>146</v>
      </c>
      <c r="B14" s="13">
        <v>2788</v>
      </c>
      <c r="C14" s="14">
        <f>(2322/B14*100)</f>
        <v>83.285509325681488</v>
      </c>
      <c r="D14" s="15">
        <v>466</v>
      </c>
      <c r="E14" s="14">
        <v>20.27744616</v>
      </c>
      <c r="F14" s="16">
        <v>2.2307087000000001</v>
      </c>
      <c r="G14" s="14">
        <v>31.27205945</v>
      </c>
      <c r="H14" s="16">
        <v>2.3842433399999998</v>
      </c>
      <c r="I14" s="14">
        <v>48.450494390000003</v>
      </c>
      <c r="J14" s="16">
        <v>2.4930075</v>
      </c>
      <c r="K14" s="14" t="s">
        <v>139</v>
      </c>
      <c r="L14" s="16" t="s">
        <v>139</v>
      </c>
      <c r="M14" s="14">
        <v>0</v>
      </c>
      <c r="N14" s="16">
        <v>0</v>
      </c>
      <c r="O14" s="14">
        <v>0</v>
      </c>
      <c r="P14" s="16">
        <v>0</v>
      </c>
      <c r="Q14" s="14">
        <v>0</v>
      </c>
      <c r="R14" s="16">
        <v>0</v>
      </c>
      <c r="S14" s="14">
        <v>0</v>
      </c>
      <c r="T14" s="16">
        <v>0</v>
      </c>
    </row>
    <row r="15" spans="1:20" x14ac:dyDescent="0.25">
      <c r="A15" s="11" t="s">
        <v>147</v>
      </c>
      <c r="B15" s="13">
        <v>2863</v>
      </c>
      <c r="C15" s="14">
        <f>(2394/B15*100)</f>
        <v>83.618581907090459</v>
      </c>
      <c r="D15" s="15">
        <v>469</v>
      </c>
      <c r="E15" s="14">
        <v>14.634861470000001</v>
      </c>
      <c r="F15" s="16">
        <v>1.5883737600000001</v>
      </c>
      <c r="G15" s="14">
        <v>14.208077960000001</v>
      </c>
      <c r="H15" s="16">
        <v>1.6085681000000001</v>
      </c>
      <c r="I15" s="14">
        <v>71.157060569999999</v>
      </c>
      <c r="J15" s="16">
        <v>2.0713684300000001</v>
      </c>
      <c r="K15" s="14" t="s">
        <v>139</v>
      </c>
      <c r="L15" s="16" t="s">
        <v>139</v>
      </c>
      <c r="M15" s="14">
        <v>0</v>
      </c>
      <c r="N15" s="16">
        <v>0</v>
      </c>
      <c r="O15" s="14">
        <v>0</v>
      </c>
      <c r="P15" s="16">
        <v>0</v>
      </c>
      <c r="Q15" s="14">
        <v>0</v>
      </c>
      <c r="R15" s="16">
        <v>0</v>
      </c>
      <c r="S15" s="14">
        <v>0</v>
      </c>
      <c r="T15" s="16">
        <v>0</v>
      </c>
    </row>
    <row r="16" spans="1:20" x14ac:dyDescent="0.25">
      <c r="A16" s="11" t="s">
        <v>148</v>
      </c>
      <c r="B16" s="13">
        <v>3111</v>
      </c>
      <c r="C16" s="14">
        <f>(2585/B16*100)</f>
        <v>83.092253294760525</v>
      </c>
      <c r="D16" s="15">
        <v>526</v>
      </c>
      <c r="E16" s="14">
        <v>20.499106980000001</v>
      </c>
      <c r="F16" s="16">
        <v>1.86002365</v>
      </c>
      <c r="G16" s="14">
        <v>23.05251209</v>
      </c>
      <c r="H16" s="16">
        <v>1.9003033</v>
      </c>
      <c r="I16" s="14">
        <v>56.448380929999999</v>
      </c>
      <c r="J16" s="16">
        <v>2.29777728</v>
      </c>
      <c r="K16" s="14" t="s">
        <v>139</v>
      </c>
      <c r="L16" s="16" t="s">
        <v>139</v>
      </c>
      <c r="M16" s="14">
        <v>0</v>
      </c>
      <c r="N16" s="16">
        <v>0</v>
      </c>
      <c r="O16" s="14">
        <v>0</v>
      </c>
      <c r="P16" s="16">
        <v>0</v>
      </c>
      <c r="Q16" s="14">
        <v>0</v>
      </c>
      <c r="R16" s="16">
        <v>0</v>
      </c>
      <c r="S16" s="14">
        <v>0</v>
      </c>
      <c r="T16" s="16">
        <v>0</v>
      </c>
    </row>
    <row r="17" spans="1:20" x14ac:dyDescent="0.25">
      <c r="A17" s="11" t="s">
        <v>149</v>
      </c>
      <c r="B17" s="13">
        <v>3197</v>
      </c>
      <c r="C17" s="14">
        <f>(2666/B17*100)</f>
        <v>83.390678761338748</v>
      </c>
      <c r="D17" s="15">
        <v>531</v>
      </c>
      <c r="E17" s="14">
        <v>16.256329829999999</v>
      </c>
      <c r="F17" s="16">
        <v>1.75818919</v>
      </c>
      <c r="G17" s="14">
        <v>25.008309090000001</v>
      </c>
      <c r="H17" s="16">
        <v>1.95785437</v>
      </c>
      <c r="I17" s="14">
        <v>58.735361079999997</v>
      </c>
      <c r="J17" s="16">
        <v>2.5602521299999998</v>
      </c>
      <c r="K17" s="14" t="s">
        <v>139</v>
      </c>
      <c r="L17" s="16" t="s">
        <v>139</v>
      </c>
      <c r="M17" s="14">
        <v>0</v>
      </c>
      <c r="N17" s="16">
        <v>0</v>
      </c>
      <c r="O17" s="14">
        <v>0</v>
      </c>
      <c r="P17" s="16">
        <v>0</v>
      </c>
      <c r="Q17" s="14">
        <v>0</v>
      </c>
      <c r="R17" s="16">
        <v>0</v>
      </c>
      <c r="S17" s="14">
        <v>0</v>
      </c>
      <c r="T17" s="16">
        <v>0</v>
      </c>
    </row>
    <row r="18" spans="1:20" x14ac:dyDescent="0.25">
      <c r="A18" s="11" t="s">
        <v>150</v>
      </c>
      <c r="B18" s="13">
        <v>2706</v>
      </c>
      <c r="C18" s="14">
        <f>(2241/B18*100)</f>
        <v>82.815964523281593</v>
      </c>
      <c r="D18" s="15">
        <v>465</v>
      </c>
      <c r="E18" s="14">
        <v>37.254852990000003</v>
      </c>
      <c r="F18" s="16">
        <v>2.8071253899999999</v>
      </c>
      <c r="G18" s="14">
        <v>28.9165268</v>
      </c>
      <c r="H18" s="16">
        <v>2.3387876799999998</v>
      </c>
      <c r="I18" s="14">
        <v>33.828620209999997</v>
      </c>
      <c r="J18" s="16">
        <v>2.5530964100000002</v>
      </c>
      <c r="K18" s="14" t="s">
        <v>139</v>
      </c>
      <c r="L18" s="16" t="s">
        <v>139</v>
      </c>
      <c r="M18" s="14">
        <v>0</v>
      </c>
      <c r="N18" s="16">
        <v>0</v>
      </c>
      <c r="O18" s="14">
        <v>0</v>
      </c>
      <c r="P18" s="16">
        <v>0</v>
      </c>
      <c r="Q18" s="14">
        <v>0</v>
      </c>
      <c r="R18" s="16">
        <v>0</v>
      </c>
      <c r="S18" s="14">
        <v>0</v>
      </c>
      <c r="T18" s="16">
        <v>0</v>
      </c>
    </row>
    <row r="19" spans="1:20" x14ac:dyDescent="0.25">
      <c r="A19" s="11" t="s">
        <v>151</v>
      </c>
      <c r="B19" s="13">
        <v>2850</v>
      </c>
      <c r="C19" s="14">
        <f>(2391/B19*100)</f>
        <v>83.89473684210526</v>
      </c>
      <c r="D19" s="15">
        <v>459</v>
      </c>
      <c r="E19" s="14">
        <v>33.584913270000001</v>
      </c>
      <c r="F19" s="16">
        <v>2.1054820400000001</v>
      </c>
      <c r="G19" s="14">
        <v>22.734804690000001</v>
      </c>
      <c r="H19" s="16">
        <v>1.85733942</v>
      </c>
      <c r="I19" s="14">
        <v>43.680282040000002</v>
      </c>
      <c r="J19" s="16">
        <v>2.4750133600000002</v>
      </c>
      <c r="K19" s="14" t="s">
        <v>139</v>
      </c>
      <c r="L19" s="16" t="s">
        <v>139</v>
      </c>
      <c r="M19" s="14">
        <v>0</v>
      </c>
      <c r="N19" s="16">
        <v>0</v>
      </c>
      <c r="O19" s="14">
        <v>0</v>
      </c>
      <c r="P19" s="16">
        <v>0</v>
      </c>
      <c r="Q19" s="14">
        <v>0</v>
      </c>
      <c r="R19" s="16">
        <v>0</v>
      </c>
      <c r="S19" s="14">
        <v>0</v>
      </c>
      <c r="T19" s="16">
        <v>0</v>
      </c>
    </row>
    <row r="20" spans="1:20" x14ac:dyDescent="0.25">
      <c r="A20" s="11" t="s">
        <v>152</v>
      </c>
      <c r="B20" s="13">
        <v>1741</v>
      </c>
      <c r="C20" s="14">
        <f>(1461/B20*100)</f>
        <v>83.917288914417</v>
      </c>
      <c r="D20" s="15">
        <v>280</v>
      </c>
      <c r="E20" s="14">
        <v>19.467728409999999</v>
      </c>
      <c r="F20" s="16">
        <v>2.36013618</v>
      </c>
      <c r="G20" s="14">
        <v>22.023597379999998</v>
      </c>
      <c r="H20" s="16">
        <v>2.4243253</v>
      </c>
      <c r="I20" s="14">
        <v>58.508674200000002</v>
      </c>
      <c r="J20" s="16">
        <v>2.7774550900000001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(3139/B22*100)</f>
        <v>85.601308971911649</v>
      </c>
      <c r="D22" s="15">
        <v>528</v>
      </c>
      <c r="E22" s="14">
        <v>35.758464500000002</v>
      </c>
      <c r="F22" s="16">
        <v>2.15217379</v>
      </c>
      <c r="G22" s="14">
        <v>23.08532671</v>
      </c>
      <c r="H22" s="16">
        <v>1.96737356</v>
      </c>
      <c r="I22" s="14">
        <v>41.156208790000001</v>
      </c>
      <c r="J22" s="16">
        <v>2.1117256599999998</v>
      </c>
      <c r="K22" s="14" t="s">
        <v>139</v>
      </c>
      <c r="L22" s="16" t="s">
        <v>139</v>
      </c>
      <c r="M22" s="14">
        <v>0</v>
      </c>
      <c r="N22" s="16">
        <v>0</v>
      </c>
      <c r="O22" s="14">
        <v>0</v>
      </c>
      <c r="P22" s="16">
        <v>0</v>
      </c>
      <c r="Q22" s="14">
        <v>0</v>
      </c>
      <c r="R22" s="16">
        <v>0</v>
      </c>
      <c r="S22" s="14">
        <v>0</v>
      </c>
      <c r="T22" s="16">
        <v>0</v>
      </c>
    </row>
    <row r="23" spans="1:20" x14ac:dyDescent="0.25">
      <c r="A23" s="11" t="s">
        <v>156</v>
      </c>
      <c r="B23" s="13">
        <v>5792</v>
      </c>
      <c r="C23" s="14">
        <f>(4827/B23*100)</f>
        <v>83.33908839779005</v>
      </c>
      <c r="D23" s="15">
        <v>965</v>
      </c>
      <c r="E23" s="14">
        <v>28.007536949999999</v>
      </c>
      <c r="F23" s="16">
        <v>2.5606318799999999</v>
      </c>
      <c r="G23" s="14">
        <v>26.48495647</v>
      </c>
      <c r="H23" s="16">
        <v>2.0150650200000002</v>
      </c>
      <c r="I23" s="14">
        <v>45.507506579999998</v>
      </c>
      <c r="J23" s="16">
        <v>3.0935315700000001</v>
      </c>
      <c r="K23" s="14" t="s">
        <v>139</v>
      </c>
      <c r="L23" s="16" t="s">
        <v>139</v>
      </c>
      <c r="M23" s="14">
        <v>0</v>
      </c>
      <c r="N23" s="16">
        <v>0</v>
      </c>
      <c r="O23" s="14">
        <v>0</v>
      </c>
      <c r="P23" s="16">
        <v>0</v>
      </c>
      <c r="Q23" s="14">
        <v>0</v>
      </c>
      <c r="R23" s="16">
        <v>0</v>
      </c>
      <c r="S23" s="14">
        <v>0</v>
      </c>
      <c r="T23" s="16">
        <v>0</v>
      </c>
    </row>
    <row r="24" spans="1:20" x14ac:dyDescent="0.25">
      <c r="A24" s="11" t="s">
        <v>157</v>
      </c>
      <c r="B24" s="13">
        <v>3309</v>
      </c>
      <c r="C24" s="14">
        <f>(2750/B24*100)</f>
        <v>83.106678754910845</v>
      </c>
      <c r="D24" s="15">
        <v>559</v>
      </c>
      <c r="E24" s="14">
        <v>16.04714246</v>
      </c>
      <c r="F24" s="16">
        <v>1.61908392</v>
      </c>
      <c r="G24" s="14">
        <v>20.832449369999999</v>
      </c>
      <c r="H24" s="16">
        <v>1.5645508800000001</v>
      </c>
      <c r="I24" s="14">
        <v>63.120408179999998</v>
      </c>
      <c r="J24" s="16">
        <v>2.17375542</v>
      </c>
      <c r="K24" s="14" t="s">
        <v>139</v>
      </c>
      <c r="L24" s="16" t="s">
        <v>139</v>
      </c>
      <c r="M24" s="14">
        <v>0</v>
      </c>
      <c r="N24" s="16">
        <v>0</v>
      </c>
      <c r="O24" s="14">
        <v>0</v>
      </c>
      <c r="P24" s="16">
        <v>0</v>
      </c>
      <c r="Q24" s="14">
        <v>0</v>
      </c>
      <c r="R24" s="16">
        <v>0</v>
      </c>
      <c r="S24" s="14">
        <v>0</v>
      </c>
      <c r="T24" s="16">
        <v>0</v>
      </c>
    </row>
    <row r="25" spans="1:20" x14ac:dyDescent="0.25">
      <c r="A25" s="11" t="s">
        <v>158</v>
      </c>
      <c r="B25" s="13">
        <v>2669</v>
      </c>
      <c r="C25" s="14">
        <f>(2210/B25*100)</f>
        <v>82.802547770700642</v>
      </c>
      <c r="D25" s="15">
        <v>459</v>
      </c>
      <c r="E25" s="14">
        <v>20.468301830000001</v>
      </c>
      <c r="F25" s="16">
        <v>1.7878716800000001</v>
      </c>
      <c r="G25" s="14">
        <v>20.947650110000001</v>
      </c>
      <c r="H25" s="16">
        <v>1.9300156399999999</v>
      </c>
      <c r="I25" s="14">
        <v>58.584048060000001</v>
      </c>
      <c r="J25" s="16">
        <v>2.3180216599999999</v>
      </c>
      <c r="K25" s="14" t="s">
        <v>139</v>
      </c>
      <c r="L25" s="16" t="s">
        <v>139</v>
      </c>
      <c r="M25" s="14">
        <v>0</v>
      </c>
      <c r="N25" s="16">
        <v>0</v>
      </c>
      <c r="O25" s="14">
        <v>0</v>
      </c>
      <c r="P25" s="16">
        <v>0</v>
      </c>
      <c r="Q25" s="14">
        <v>0</v>
      </c>
      <c r="R25" s="16">
        <v>0</v>
      </c>
      <c r="S25" s="14">
        <v>0</v>
      </c>
      <c r="T25" s="16">
        <v>0</v>
      </c>
    </row>
    <row r="26" spans="1:20" x14ac:dyDescent="0.25">
      <c r="A26" s="11" t="s">
        <v>159</v>
      </c>
      <c r="B26" s="13">
        <v>2419</v>
      </c>
      <c r="C26" s="14">
        <f>(2004/B26*100)</f>
        <v>82.844150475403055</v>
      </c>
      <c r="D26" s="15">
        <v>415</v>
      </c>
      <c r="E26" s="14">
        <v>28.91476892</v>
      </c>
      <c r="F26" s="16">
        <v>2.2202413700000001</v>
      </c>
      <c r="G26" s="14">
        <v>30.629114349999998</v>
      </c>
      <c r="H26" s="16">
        <v>2.2339356000000001</v>
      </c>
      <c r="I26" s="14">
        <v>40.456116729999998</v>
      </c>
      <c r="J26" s="16">
        <v>2.1995996199999999</v>
      </c>
      <c r="K26" s="14" t="s">
        <v>139</v>
      </c>
      <c r="L26" s="16" t="s">
        <v>139</v>
      </c>
      <c r="M26" s="14">
        <v>0</v>
      </c>
      <c r="N26" s="16">
        <v>0</v>
      </c>
      <c r="O26" s="14">
        <v>0</v>
      </c>
      <c r="P26" s="16">
        <v>0</v>
      </c>
      <c r="Q26" s="14">
        <v>0</v>
      </c>
      <c r="R26" s="16">
        <v>0</v>
      </c>
      <c r="S26" s="14">
        <v>0</v>
      </c>
      <c r="T26" s="16">
        <v>0</v>
      </c>
    </row>
    <row r="27" spans="1:20" x14ac:dyDescent="0.25">
      <c r="A27" s="11" t="s">
        <v>160</v>
      </c>
      <c r="B27" s="13">
        <v>2683</v>
      </c>
      <c r="C27" s="14">
        <f>(2258/B27*100)</f>
        <v>84.159522922102127</v>
      </c>
      <c r="D27" s="15">
        <v>425</v>
      </c>
      <c r="E27" s="14">
        <v>20.785888369999999</v>
      </c>
      <c r="F27" s="16">
        <v>2.5249358000000002</v>
      </c>
      <c r="G27" s="14">
        <v>26.119186020000001</v>
      </c>
      <c r="H27" s="16">
        <v>2.1825414099999998</v>
      </c>
      <c r="I27" s="14">
        <v>53.094925609999997</v>
      </c>
      <c r="J27" s="16">
        <v>2.5244824499999998</v>
      </c>
      <c r="K27" s="14" t="s">
        <v>139</v>
      </c>
      <c r="L27" s="16" t="s">
        <v>139</v>
      </c>
      <c r="M27" s="14">
        <v>0</v>
      </c>
      <c r="N27" s="16">
        <v>0</v>
      </c>
      <c r="O27" s="14">
        <v>0</v>
      </c>
      <c r="P27" s="16">
        <v>0</v>
      </c>
      <c r="Q27" s="14">
        <v>0</v>
      </c>
      <c r="R27" s="16">
        <v>0</v>
      </c>
      <c r="S27" s="14">
        <v>0</v>
      </c>
      <c r="T27" s="16">
        <v>0</v>
      </c>
    </row>
    <row r="28" spans="1:20" x14ac:dyDescent="0.25">
      <c r="A28" s="11" t="s">
        <v>161</v>
      </c>
      <c r="B28" s="13">
        <v>3803</v>
      </c>
      <c r="C28" s="14">
        <f>(3281/B28*100)</f>
        <v>86.273994215093353</v>
      </c>
      <c r="D28" s="15">
        <v>522</v>
      </c>
      <c r="E28" s="14">
        <v>42.221445729999999</v>
      </c>
      <c r="F28" s="16">
        <v>2.2513244800000001</v>
      </c>
      <c r="G28" s="14">
        <v>23.355910179999999</v>
      </c>
      <c r="H28" s="16">
        <v>1.8501668499999999</v>
      </c>
      <c r="I28" s="14">
        <v>34.422644089999999</v>
      </c>
      <c r="J28" s="16">
        <v>2.28755563</v>
      </c>
      <c r="K28" s="14" t="s">
        <v>139</v>
      </c>
      <c r="L28" s="16" t="s">
        <v>139</v>
      </c>
      <c r="M28" s="14">
        <v>0</v>
      </c>
      <c r="N28" s="16">
        <v>0</v>
      </c>
      <c r="O28" s="14">
        <v>0</v>
      </c>
      <c r="P28" s="16">
        <v>0</v>
      </c>
      <c r="Q28" s="14">
        <v>0</v>
      </c>
      <c r="R28" s="16">
        <v>0</v>
      </c>
      <c r="S28" s="14">
        <v>0</v>
      </c>
      <c r="T28" s="16">
        <v>0</v>
      </c>
    </row>
    <row r="29" spans="1:20" x14ac:dyDescent="0.25">
      <c r="A29" s="11" t="s">
        <v>162</v>
      </c>
      <c r="B29" s="13">
        <v>2700</v>
      </c>
      <c r="C29" s="14">
        <f>(2246/B29*100)</f>
        <v>83.18518518518519</v>
      </c>
      <c r="D29" s="15">
        <v>454</v>
      </c>
      <c r="E29" s="14">
        <v>20.17479865</v>
      </c>
      <c r="F29" s="16">
        <v>1.7381507899999999</v>
      </c>
      <c r="G29" s="14">
        <v>26.4844884</v>
      </c>
      <c r="H29" s="16">
        <v>2.2046133800000001</v>
      </c>
      <c r="I29" s="14">
        <v>53.340712949999997</v>
      </c>
      <c r="J29" s="16">
        <v>2.0305218200000001</v>
      </c>
      <c r="K29" s="14" t="s">
        <v>139</v>
      </c>
      <c r="L29" s="16" t="s">
        <v>139</v>
      </c>
      <c r="M29" s="14">
        <v>0</v>
      </c>
      <c r="N29" s="16">
        <v>0</v>
      </c>
      <c r="O29" s="14">
        <v>0</v>
      </c>
      <c r="P29" s="16">
        <v>0</v>
      </c>
      <c r="Q29" s="14">
        <v>0</v>
      </c>
      <c r="R29" s="16">
        <v>0</v>
      </c>
      <c r="S29" s="14">
        <v>0</v>
      </c>
      <c r="T29" s="16">
        <v>0</v>
      </c>
    </row>
    <row r="30" spans="1:20" x14ac:dyDescent="0.25">
      <c r="A30" s="11" t="s">
        <v>163</v>
      </c>
      <c r="B30" s="13">
        <v>2257</v>
      </c>
      <c r="C30" s="14">
        <f>(1897/B30*100)</f>
        <v>84.049623393885682</v>
      </c>
      <c r="D30" s="15">
        <v>360</v>
      </c>
      <c r="E30" s="14">
        <v>11.06845779</v>
      </c>
      <c r="F30" s="16">
        <v>1.76880869</v>
      </c>
      <c r="G30" s="14">
        <v>18.444249589999998</v>
      </c>
      <c r="H30" s="16">
        <v>2.2072940499999998</v>
      </c>
      <c r="I30" s="14">
        <v>70.487292620000005</v>
      </c>
      <c r="J30" s="16">
        <v>2.7813401099999999</v>
      </c>
      <c r="K30" s="14" t="s">
        <v>139</v>
      </c>
      <c r="L30" s="16" t="s">
        <v>139</v>
      </c>
      <c r="M30" s="14">
        <v>0</v>
      </c>
      <c r="N30" s="16">
        <v>0</v>
      </c>
      <c r="O30" s="14">
        <v>0</v>
      </c>
      <c r="P30" s="16">
        <v>0</v>
      </c>
      <c r="Q30" s="14">
        <v>0</v>
      </c>
      <c r="R30" s="16">
        <v>0</v>
      </c>
      <c r="S30" s="14">
        <v>0</v>
      </c>
      <c r="T30" s="16">
        <v>0</v>
      </c>
    </row>
    <row r="31" spans="1:20" x14ac:dyDescent="0.25">
      <c r="A31" s="11" t="s">
        <v>164</v>
      </c>
      <c r="B31" s="13">
        <v>2706</v>
      </c>
      <c r="C31" s="14">
        <f>(2263/B31*100)</f>
        <v>83.628972653362894</v>
      </c>
      <c r="D31" s="15">
        <v>443</v>
      </c>
      <c r="E31" s="14">
        <v>22.161082530000002</v>
      </c>
      <c r="F31" s="16">
        <v>2.08645623</v>
      </c>
      <c r="G31" s="14">
        <v>29.45408673</v>
      </c>
      <c r="H31" s="16">
        <v>2.30377403</v>
      </c>
      <c r="I31" s="14">
        <v>48.384830739999998</v>
      </c>
      <c r="J31" s="16">
        <v>2.4524630599999999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(3082/B33*100)</f>
        <v>84.415228704464525</v>
      </c>
      <c r="D33" s="15">
        <v>569</v>
      </c>
      <c r="E33" s="14">
        <v>20.757143549999999</v>
      </c>
      <c r="F33" s="16">
        <v>1.82149308</v>
      </c>
      <c r="G33" s="14">
        <v>26.25534966</v>
      </c>
      <c r="H33" s="16">
        <v>1.94958626</v>
      </c>
      <c r="I33" s="14">
        <v>52.987506789999998</v>
      </c>
      <c r="J33" s="16">
        <v>2.1477380099999999</v>
      </c>
      <c r="K33" s="14" t="s">
        <v>139</v>
      </c>
      <c r="L33" s="16" t="s">
        <v>139</v>
      </c>
      <c r="M33" s="14">
        <v>0</v>
      </c>
      <c r="N33" s="16">
        <v>0</v>
      </c>
      <c r="O33" s="14">
        <v>0</v>
      </c>
      <c r="P33" s="16">
        <v>0</v>
      </c>
      <c r="Q33" s="14">
        <v>0</v>
      </c>
      <c r="R33" s="16">
        <v>0</v>
      </c>
      <c r="S33" s="14">
        <v>0</v>
      </c>
      <c r="T33" s="16">
        <v>0</v>
      </c>
    </row>
    <row r="34" spans="1:20" x14ac:dyDescent="0.25">
      <c r="A34" s="11" t="s">
        <v>167</v>
      </c>
      <c r="B34" s="13">
        <v>3035</v>
      </c>
      <c r="C34" s="14">
        <f>(2575/B34*100)</f>
        <v>84.843492586490939</v>
      </c>
      <c r="D34" s="15">
        <v>460</v>
      </c>
      <c r="E34" s="14">
        <v>31.398871320000001</v>
      </c>
      <c r="F34" s="16">
        <v>2.5196915999999998</v>
      </c>
      <c r="G34" s="14">
        <v>27.843412560000001</v>
      </c>
      <c r="H34" s="16">
        <v>2.0489696899999998</v>
      </c>
      <c r="I34" s="14">
        <v>40.757716119999998</v>
      </c>
      <c r="J34" s="16">
        <v>2.3282945000000002</v>
      </c>
      <c r="K34" s="14" t="s">
        <v>139</v>
      </c>
      <c r="L34" s="16" t="s">
        <v>139</v>
      </c>
      <c r="M34" s="14">
        <v>0</v>
      </c>
      <c r="N34" s="16">
        <v>0</v>
      </c>
      <c r="O34" s="14">
        <v>0</v>
      </c>
      <c r="P34" s="16">
        <v>0</v>
      </c>
      <c r="Q34" s="14">
        <v>0</v>
      </c>
      <c r="R34" s="16">
        <v>0</v>
      </c>
      <c r="S34" s="14">
        <v>0</v>
      </c>
      <c r="T34" s="16">
        <v>0</v>
      </c>
    </row>
    <row r="35" spans="1:20" x14ac:dyDescent="0.25">
      <c r="A35" s="11" t="s">
        <v>168</v>
      </c>
      <c r="B35" s="13">
        <v>2901</v>
      </c>
      <c r="C35" s="14">
        <f>(2403/B35*100)</f>
        <v>82.833505687693901</v>
      </c>
      <c r="D35" s="15">
        <v>498</v>
      </c>
      <c r="E35" s="14">
        <v>26.161836470000001</v>
      </c>
      <c r="F35" s="16">
        <v>2.41089083</v>
      </c>
      <c r="G35" s="14">
        <v>31.865778079999998</v>
      </c>
      <c r="H35" s="16">
        <v>2.5622216</v>
      </c>
      <c r="I35" s="14">
        <v>41.972385449999997</v>
      </c>
      <c r="J35" s="16">
        <v>2.8091397499999999</v>
      </c>
      <c r="K35" s="14" t="s">
        <v>139</v>
      </c>
      <c r="L35" s="16" t="s">
        <v>139</v>
      </c>
      <c r="M35" s="14">
        <v>0</v>
      </c>
      <c r="N35" s="16">
        <v>0</v>
      </c>
      <c r="O35" s="14">
        <v>0</v>
      </c>
      <c r="P35" s="16">
        <v>0</v>
      </c>
      <c r="Q35" s="14">
        <v>0</v>
      </c>
      <c r="R35" s="16">
        <v>0</v>
      </c>
      <c r="S35" s="14">
        <v>0</v>
      </c>
      <c r="T35" s="16">
        <v>0</v>
      </c>
    </row>
    <row r="36" spans="1:20" x14ac:dyDescent="0.25">
      <c r="A36" s="11" t="s">
        <v>169</v>
      </c>
      <c r="B36" s="13">
        <v>3404</v>
      </c>
      <c r="C36" s="14">
        <f>(2858/B36*100)</f>
        <v>83.960047003525261</v>
      </c>
      <c r="D36" s="15">
        <v>546</v>
      </c>
      <c r="E36" s="14">
        <v>20.497487159999999</v>
      </c>
      <c r="F36" s="16">
        <v>1.87213231</v>
      </c>
      <c r="G36" s="14">
        <v>25.148086360000001</v>
      </c>
      <c r="H36" s="16">
        <v>1.8220743800000001</v>
      </c>
      <c r="I36" s="14">
        <v>54.35442647</v>
      </c>
      <c r="J36" s="16">
        <v>2.6326523900000001</v>
      </c>
      <c r="K36" s="14" t="s">
        <v>139</v>
      </c>
      <c r="L36" s="16" t="s">
        <v>139</v>
      </c>
      <c r="M36" s="14">
        <v>0</v>
      </c>
      <c r="N36" s="16">
        <v>0</v>
      </c>
      <c r="O36" s="14">
        <v>0</v>
      </c>
      <c r="P36" s="16">
        <v>0</v>
      </c>
      <c r="Q36" s="14">
        <v>0</v>
      </c>
      <c r="R36" s="16">
        <v>0</v>
      </c>
      <c r="S36" s="14">
        <v>0</v>
      </c>
      <c r="T36" s="16">
        <v>0</v>
      </c>
    </row>
    <row r="37" spans="1:20" x14ac:dyDescent="0.25">
      <c r="A37" s="11" t="s">
        <v>170</v>
      </c>
      <c r="B37" s="13">
        <v>2731</v>
      </c>
      <c r="C37" s="14">
        <f>(2321/B37*100)</f>
        <v>84.98718418161846</v>
      </c>
      <c r="D37" s="15">
        <v>410</v>
      </c>
      <c r="E37" s="14">
        <v>23.33616009</v>
      </c>
      <c r="F37" s="16">
        <v>2.04616913</v>
      </c>
      <c r="G37" s="14">
        <v>27.888652350000001</v>
      </c>
      <c r="H37" s="16">
        <v>2.4011188699999999</v>
      </c>
      <c r="I37" s="14">
        <v>48.775187559999999</v>
      </c>
      <c r="J37" s="16">
        <v>2.6733869100000001</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(2415/B39*100)</f>
        <v>82.198774676650785</v>
      </c>
      <c r="D39" s="15">
        <v>523</v>
      </c>
      <c r="E39" s="14">
        <v>53.283014520000002</v>
      </c>
      <c r="F39" s="16">
        <v>2.20352346</v>
      </c>
      <c r="G39" s="14">
        <v>25.146624169999999</v>
      </c>
      <c r="H39" s="16">
        <v>2.1107362799999998</v>
      </c>
      <c r="I39" s="14">
        <v>21.570361309999999</v>
      </c>
      <c r="J39" s="16">
        <v>1.8326343</v>
      </c>
      <c r="K39" s="14" t="s">
        <v>139</v>
      </c>
      <c r="L39" s="16" t="s">
        <v>139</v>
      </c>
      <c r="M39" s="14">
        <v>0</v>
      </c>
      <c r="N39" s="16">
        <v>0</v>
      </c>
      <c r="O39" s="14">
        <v>0</v>
      </c>
      <c r="P39" s="16">
        <v>0</v>
      </c>
      <c r="Q39" s="14">
        <v>0</v>
      </c>
      <c r="R39" s="16">
        <v>0</v>
      </c>
      <c r="S39" s="14">
        <v>0</v>
      </c>
      <c r="T39" s="16">
        <v>0</v>
      </c>
    </row>
    <row r="40" spans="1:20" x14ac:dyDescent="0.25">
      <c r="A40" s="11" t="s">
        <v>173</v>
      </c>
      <c r="B40" s="13">
        <v>6922</v>
      </c>
      <c r="C40" s="14">
        <f>(5689/B40*100)</f>
        <v>82.187229124530475</v>
      </c>
      <c r="D40" s="15">
        <v>1233</v>
      </c>
      <c r="E40" s="14">
        <v>15.532002670000001</v>
      </c>
      <c r="F40" s="16">
        <v>1.5763038700000001</v>
      </c>
      <c r="G40" s="14">
        <v>23.264483200000001</v>
      </c>
      <c r="H40" s="16">
        <v>1.8951494799999999</v>
      </c>
      <c r="I40" s="14">
        <v>61.203514130000002</v>
      </c>
      <c r="J40" s="16">
        <v>2.4255032999999999</v>
      </c>
      <c r="K40" s="14" t="s">
        <v>139</v>
      </c>
      <c r="L40" s="16" t="s">
        <v>139</v>
      </c>
      <c r="M40" s="14">
        <v>0</v>
      </c>
      <c r="N40" s="16">
        <v>0</v>
      </c>
      <c r="O40" s="14">
        <v>0</v>
      </c>
      <c r="P40" s="16">
        <v>0</v>
      </c>
      <c r="Q40" s="14">
        <v>0</v>
      </c>
      <c r="R40" s="16">
        <v>0</v>
      </c>
      <c r="S40" s="14">
        <v>0</v>
      </c>
      <c r="T40" s="16">
        <v>0</v>
      </c>
    </row>
    <row r="41" spans="1:20" x14ac:dyDescent="0.25">
      <c r="A41" s="11" t="s">
        <v>174</v>
      </c>
      <c r="B41" s="13">
        <v>2854</v>
      </c>
      <c r="C41" s="14">
        <f>(2389/B41*100)</f>
        <v>83.707077785564124</v>
      </c>
      <c r="D41" s="15">
        <v>465</v>
      </c>
      <c r="E41" s="14">
        <v>20.910867280000002</v>
      </c>
      <c r="F41" s="16">
        <v>1.94165195</v>
      </c>
      <c r="G41" s="14">
        <v>22.916883070000001</v>
      </c>
      <c r="H41" s="16">
        <v>1.9610481099999999</v>
      </c>
      <c r="I41" s="14">
        <v>56.172249649999998</v>
      </c>
      <c r="J41" s="16">
        <v>2.1200455900000001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83.692868392788796</v>
      </c>
      <c r="D42" s="15">
        <f>IF(COUNT(D7:D41) &gt; 0, AVERAGE(D7:D41), "—")</f>
        <v>591.4375</v>
      </c>
      <c r="E42" s="14">
        <f>IF(COUNT(E7:E41) &gt; 0, AVERAGE(E7:E41), "—")</f>
        <v>24.146340724687505</v>
      </c>
      <c r="F42" s="16">
        <f>IF(COUNT(F7:F41) &gt; 0, SQRT(SUMSQ(F7:F41)/(COUNT(F7:F41)*COUNT(F7:F41)) ), "—")</f>
        <v>0.35972924200426892</v>
      </c>
      <c r="G42" s="14">
        <f>IF(COUNT(G7:G41) &gt; 0, AVERAGE(G7:G41), "—")</f>
        <v>24.736067159375004</v>
      </c>
      <c r="H42" s="16">
        <f>IF(COUNT(H7:H41) &gt; 0, SQRT(SUMSQ(H7:H41)/(COUNT(H7:H41)*COUNT(H7:H41)) ), "—")</f>
        <v>0.35997531068683458</v>
      </c>
      <c r="I42" s="14">
        <f>IF(COUNT(I7:I41) &gt; 0, AVERAGE(I7:I41), "—")</f>
        <v>51.117592116562491</v>
      </c>
      <c r="J42" s="16">
        <f>IF(COUNT(J7:J41) &gt; 0, SQRT(SUMSQ(J7:J41)/(COUNT(J7:J41)*COUNT(J7:J41)) ), "—")</f>
        <v>0.41685140584465386</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(10701/B46*100)</f>
        <v>88.635798890085312</v>
      </c>
      <c r="D46" s="15">
        <v>1372</v>
      </c>
      <c r="E46" s="14">
        <v>49.747057679999998</v>
      </c>
      <c r="F46" s="16">
        <v>1.9304993500000001</v>
      </c>
      <c r="G46" s="14">
        <v>21.81878008</v>
      </c>
      <c r="H46" s="16">
        <v>1.26440766</v>
      </c>
      <c r="I46" s="14">
        <v>28.434162239999999</v>
      </c>
      <c r="J46" s="16">
        <v>1.6657568899999999</v>
      </c>
      <c r="K46" s="14" t="s">
        <v>139</v>
      </c>
      <c r="L46" s="16" t="s">
        <v>139</v>
      </c>
      <c r="M46" s="14">
        <v>0</v>
      </c>
      <c r="N46" s="16">
        <v>0</v>
      </c>
      <c r="O46" s="14">
        <v>0</v>
      </c>
      <c r="P46" s="16">
        <v>0</v>
      </c>
      <c r="Q46" s="14">
        <v>0</v>
      </c>
      <c r="R46" s="16">
        <v>0</v>
      </c>
      <c r="S46" s="14">
        <v>0</v>
      </c>
      <c r="T46" s="16">
        <v>0</v>
      </c>
    </row>
    <row r="47" spans="1:20" x14ac:dyDescent="0.25">
      <c r="A47" s="11" t="s">
        <v>180</v>
      </c>
      <c r="B47" s="13">
        <v>2823</v>
      </c>
      <c r="C47" s="14">
        <f>(2388/B47*100)</f>
        <v>84.590860786397442</v>
      </c>
      <c r="D47" s="15">
        <v>435</v>
      </c>
      <c r="E47" s="14">
        <v>35.746559789999999</v>
      </c>
      <c r="F47" s="16">
        <v>1.9999524099999999</v>
      </c>
      <c r="G47" s="14">
        <v>29.096022659999999</v>
      </c>
      <c r="H47" s="16">
        <v>2.08194363</v>
      </c>
      <c r="I47" s="14">
        <v>35.157417549999998</v>
      </c>
      <c r="J47" s="16">
        <v>2.1745760500000002</v>
      </c>
      <c r="K47" s="14" t="s">
        <v>139</v>
      </c>
      <c r="L47" s="16" t="s">
        <v>139</v>
      </c>
      <c r="M47" s="14">
        <v>0</v>
      </c>
      <c r="N47" s="16">
        <v>0</v>
      </c>
      <c r="O47" s="14">
        <v>0</v>
      </c>
      <c r="P47" s="16">
        <v>0</v>
      </c>
      <c r="Q47" s="14">
        <v>0</v>
      </c>
      <c r="R47" s="16">
        <v>0</v>
      </c>
      <c r="S47" s="14">
        <v>0</v>
      </c>
      <c r="T47" s="16">
        <v>0</v>
      </c>
    </row>
    <row r="48" spans="1:20" x14ac:dyDescent="0.25">
      <c r="A48" s="11" t="s">
        <v>181</v>
      </c>
      <c r="B48" s="13">
        <v>4682</v>
      </c>
      <c r="C48" s="14">
        <f>(3866/B48*100)</f>
        <v>82.57155061939342</v>
      </c>
      <c r="D48" s="15">
        <v>816</v>
      </c>
      <c r="E48" s="14">
        <v>39.987225530000003</v>
      </c>
      <c r="F48" s="16">
        <v>2.74940125</v>
      </c>
      <c r="G48" s="14">
        <v>23.187613410000001</v>
      </c>
      <c r="H48" s="16">
        <v>2.3868938800000001</v>
      </c>
      <c r="I48" s="14">
        <v>36.82516107</v>
      </c>
      <c r="J48" s="16">
        <v>2.8296403799999998</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(5222/B50*100)</f>
        <v>84.800259824618379</v>
      </c>
      <c r="D50" s="15">
        <v>936</v>
      </c>
      <c r="E50" s="14">
        <v>52.579530329999997</v>
      </c>
      <c r="F50" s="16">
        <v>2.4511791500000002</v>
      </c>
      <c r="G50" s="14">
        <v>17.99554161</v>
      </c>
      <c r="H50" s="16">
        <v>1.3754395399999999</v>
      </c>
      <c r="I50" s="14">
        <v>29.42492807</v>
      </c>
      <c r="J50" s="16">
        <v>2.0817818699999999</v>
      </c>
      <c r="K50" s="14" t="s">
        <v>139</v>
      </c>
      <c r="L50" s="16" t="s">
        <v>139</v>
      </c>
      <c r="M50" s="14">
        <v>0</v>
      </c>
      <c r="N50" s="16">
        <v>0</v>
      </c>
      <c r="O50" s="14">
        <v>0</v>
      </c>
      <c r="P50" s="16">
        <v>0</v>
      </c>
      <c r="Q50" s="14">
        <v>0</v>
      </c>
      <c r="R50" s="16">
        <v>0</v>
      </c>
      <c r="S50" s="14">
        <v>0</v>
      </c>
      <c r="T50" s="16">
        <v>0</v>
      </c>
    </row>
    <row r="51" spans="1:20" x14ac:dyDescent="0.25">
      <c r="A51" s="11" t="s">
        <v>184</v>
      </c>
      <c r="B51" s="13">
        <v>3494</v>
      </c>
      <c r="C51" s="14">
        <f>(3022/B51*100)</f>
        <v>86.491127647395544</v>
      </c>
      <c r="D51" s="15">
        <v>472</v>
      </c>
      <c r="E51" s="14">
        <v>49.782576859999999</v>
      </c>
      <c r="F51" s="16">
        <v>2.8076982199999998</v>
      </c>
      <c r="G51" s="14">
        <v>24.78386428</v>
      </c>
      <c r="H51" s="16">
        <v>2.0364302699999999</v>
      </c>
      <c r="I51" s="14">
        <v>25.433558869999999</v>
      </c>
      <c r="J51" s="16">
        <v>2.3070982099999999</v>
      </c>
      <c r="K51" s="14" t="s">
        <v>139</v>
      </c>
      <c r="L51" s="16" t="s">
        <v>139</v>
      </c>
      <c r="M51" s="14">
        <v>0</v>
      </c>
      <c r="N51" s="16">
        <v>0</v>
      </c>
      <c r="O51" s="14">
        <v>0</v>
      </c>
      <c r="P51" s="16">
        <v>0</v>
      </c>
      <c r="Q51" s="14">
        <v>0</v>
      </c>
      <c r="R51" s="16">
        <v>0</v>
      </c>
      <c r="S51" s="14">
        <v>0</v>
      </c>
      <c r="T51" s="16">
        <v>0</v>
      </c>
    </row>
    <row r="52" spans="1:20" x14ac:dyDescent="0.25">
      <c r="A52" s="11" t="s">
        <v>185</v>
      </c>
      <c r="B52" s="13">
        <v>3013</v>
      </c>
      <c r="C52" s="14">
        <f>(2509/B52*100)</f>
        <v>83.272485894457347</v>
      </c>
      <c r="D52" s="15">
        <v>504</v>
      </c>
      <c r="E52" s="14">
        <v>38.873533389999999</v>
      </c>
      <c r="F52" s="16">
        <v>2.5154011000000001</v>
      </c>
      <c r="G52" s="14">
        <v>26.791562580000001</v>
      </c>
      <c r="H52" s="16">
        <v>1.7846458000000001</v>
      </c>
      <c r="I52" s="14">
        <v>34.334904029999997</v>
      </c>
      <c r="J52" s="16">
        <v>2.2022983900000002</v>
      </c>
      <c r="K52" s="14" t="s">
        <v>139</v>
      </c>
      <c r="L52" s="16" t="s">
        <v>139</v>
      </c>
      <c r="M52" s="14">
        <v>0</v>
      </c>
      <c r="N52" s="16">
        <v>0</v>
      </c>
      <c r="O52" s="14">
        <v>0</v>
      </c>
      <c r="P52" s="16">
        <v>0</v>
      </c>
      <c r="Q52" s="14">
        <v>0</v>
      </c>
      <c r="R52" s="16">
        <v>0</v>
      </c>
      <c r="S52" s="14">
        <v>0</v>
      </c>
      <c r="T52" s="16">
        <v>0</v>
      </c>
    </row>
    <row r="53" spans="1:20" x14ac:dyDescent="0.25">
      <c r="A53" s="11" t="s">
        <v>186</v>
      </c>
      <c r="B53" s="13">
        <v>2760</v>
      </c>
      <c r="C53" s="14">
        <f>(2292/B53*100)</f>
        <v>83.043478260869563</v>
      </c>
      <c r="D53" s="15">
        <v>468</v>
      </c>
      <c r="E53" s="14">
        <v>35.893175030000002</v>
      </c>
      <c r="F53" s="16">
        <v>1.9822556600000001</v>
      </c>
      <c r="G53" s="14">
        <v>23.841575070000001</v>
      </c>
      <c r="H53" s="16">
        <v>1.8746931200000001</v>
      </c>
      <c r="I53" s="14">
        <v>40.265249900000001</v>
      </c>
      <c r="J53" s="16">
        <v>2.4658315900000001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(2206/B56*100)</f>
        <v>82.467289719626166</v>
      </c>
      <c r="D56" s="15">
        <v>469</v>
      </c>
      <c r="E56" s="14">
        <v>11.78826735</v>
      </c>
      <c r="F56" s="16">
        <v>1.6284660500000001</v>
      </c>
      <c r="G56" s="14">
        <v>31.312608109999999</v>
      </c>
      <c r="H56" s="16">
        <v>2.0966034900000001</v>
      </c>
      <c r="I56" s="14">
        <v>56.899124550000003</v>
      </c>
      <c r="J56" s="16">
        <v>2.37180613</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(2668/B61*100)</f>
        <v>83.348953452046231</v>
      </c>
      <c r="D61" s="15">
        <v>533</v>
      </c>
      <c r="E61" s="14">
        <v>40.017843669999998</v>
      </c>
      <c r="F61" s="16">
        <v>2.2466349299999999</v>
      </c>
      <c r="G61" s="14">
        <v>27.461854249999998</v>
      </c>
      <c r="H61" s="16">
        <v>2.14838153</v>
      </c>
      <c r="I61" s="14">
        <v>32.52030207</v>
      </c>
      <c r="J61" s="16">
        <v>2.3671930099999998</v>
      </c>
      <c r="K61" s="14" t="s">
        <v>139</v>
      </c>
      <c r="L61" s="16" t="s">
        <v>139</v>
      </c>
      <c r="M61" s="14">
        <v>0</v>
      </c>
      <c r="N61" s="16">
        <v>0</v>
      </c>
      <c r="O61" s="14">
        <v>0</v>
      </c>
      <c r="P61" s="16">
        <v>0</v>
      </c>
      <c r="Q61" s="14">
        <v>0</v>
      </c>
      <c r="R61" s="16">
        <v>0</v>
      </c>
      <c r="S61" s="14">
        <v>0</v>
      </c>
      <c r="T61" s="16">
        <v>0</v>
      </c>
    </row>
    <row r="62" spans="1:20" x14ac:dyDescent="0.25">
      <c r="A62" s="11" t="s">
        <v>195</v>
      </c>
      <c r="B62" s="13">
        <v>2230</v>
      </c>
      <c r="C62" s="14">
        <f>(1845/B62*100)</f>
        <v>82.735426008968602</v>
      </c>
      <c r="D62" s="15">
        <v>385</v>
      </c>
      <c r="E62" s="14">
        <v>14.12391176</v>
      </c>
      <c r="F62" s="16">
        <v>1.6814797500000001</v>
      </c>
      <c r="G62" s="14">
        <v>32.447537830000002</v>
      </c>
      <c r="H62" s="16">
        <v>2.3232150599999999</v>
      </c>
      <c r="I62" s="14">
        <v>53.42855041</v>
      </c>
      <c r="J62" s="16">
        <v>2.62703658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(2332/B66*100)</f>
        <v>84.157343919162756</v>
      </c>
      <c r="D66" s="15">
        <v>439</v>
      </c>
      <c r="E66" s="14">
        <v>58.778779409999999</v>
      </c>
      <c r="F66" s="16">
        <v>2.2566811699999998</v>
      </c>
      <c r="G66" s="14">
        <v>23.848179600000002</v>
      </c>
      <c r="H66" s="16">
        <v>2.3296511799999999</v>
      </c>
      <c r="I66" s="14">
        <v>17.373040979999999</v>
      </c>
      <c r="J66" s="16">
        <v>1.9751193499999999</v>
      </c>
      <c r="K66" s="14" t="s">
        <v>139</v>
      </c>
      <c r="L66" s="16" t="s">
        <v>139</v>
      </c>
      <c r="M66" s="14">
        <v>0</v>
      </c>
      <c r="N66" s="16">
        <v>0</v>
      </c>
      <c r="O66" s="14">
        <v>0</v>
      </c>
      <c r="P66" s="16">
        <v>0</v>
      </c>
      <c r="Q66" s="14">
        <v>0</v>
      </c>
      <c r="R66" s="16">
        <v>0</v>
      </c>
      <c r="S66" s="14">
        <v>0</v>
      </c>
      <c r="T66" s="16">
        <v>0</v>
      </c>
    </row>
    <row r="67" spans="1:20" x14ac:dyDescent="0.25">
      <c r="A67" s="11" t="s">
        <v>200</v>
      </c>
      <c r="B67" s="13">
        <v>3460</v>
      </c>
      <c r="C67" s="14">
        <f>(2997/B67*100)</f>
        <v>86.618497109826592</v>
      </c>
      <c r="D67" s="15">
        <v>463</v>
      </c>
      <c r="E67" s="14">
        <v>55.553056099999999</v>
      </c>
      <c r="F67" s="16">
        <v>2.67950994</v>
      </c>
      <c r="G67" s="14">
        <v>18.721747789999998</v>
      </c>
      <c r="H67" s="16">
        <v>1.9642189000000001</v>
      </c>
      <c r="I67" s="14">
        <v>25.72519612</v>
      </c>
      <c r="J67" s="16">
        <v>2.4658622800000001</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(2611/B70*100)</f>
        <v>84.036047634373986</v>
      </c>
      <c r="D70" s="15">
        <v>496</v>
      </c>
      <c r="E70" s="14">
        <v>34.960551510000002</v>
      </c>
      <c r="F70" s="16">
        <v>2.4311979400000001</v>
      </c>
      <c r="G70" s="14">
        <v>27.56718665</v>
      </c>
      <c r="H70" s="16">
        <v>2.1216319000000001</v>
      </c>
      <c r="I70" s="14">
        <v>37.472261830000001</v>
      </c>
      <c r="J70" s="16">
        <v>2.6585767900000001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(3168/B72*100)</f>
        <v>82.953652788688132</v>
      </c>
      <c r="D72" s="15">
        <v>651</v>
      </c>
      <c r="E72" s="14">
        <v>19.57995721</v>
      </c>
      <c r="F72" s="16">
        <v>1.6270471500000001</v>
      </c>
      <c r="G72" s="14">
        <v>29.2348657</v>
      </c>
      <c r="H72" s="16">
        <v>2.02011092</v>
      </c>
      <c r="I72" s="14">
        <v>51.185177099999997</v>
      </c>
      <c r="J72" s="16">
        <v>2.3720614200000001</v>
      </c>
      <c r="K72" s="14" t="s">
        <v>139</v>
      </c>
      <c r="L72" s="16" t="s">
        <v>139</v>
      </c>
      <c r="M72" s="14">
        <v>0</v>
      </c>
      <c r="N72" s="16">
        <v>0</v>
      </c>
      <c r="O72" s="14">
        <v>0</v>
      </c>
      <c r="P72" s="16">
        <v>0</v>
      </c>
      <c r="Q72" s="14">
        <v>0</v>
      </c>
      <c r="R72" s="16">
        <v>0</v>
      </c>
      <c r="S72" s="14">
        <v>0</v>
      </c>
      <c r="T72" s="16">
        <v>0</v>
      </c>
    </row>
    <row r="73" spans="1:20" x14ac:dyDescent="0.25">
      <c r="A73" s="11" t="s">
        <v>206</v>
      </c>
      <c r="B73" s="13">
        <v>4652</v>
      </c>
      <c r="C73" s="14">
        <f>(3968/B73*100)</f>
        <v>85.29664660361135</v>
      </c>
      <c r="D73" s="15">
        <v>684</v>
      </c>
      <c r="E73" s="14">
        <v>57.85457392</v>
      </c>
      <c r="F73" s="16">
        <v>2.1836275700000001</v>
      </c>
      <c r="G73" s="14">
        <v>22.01054289</v>
      </c>
      <c r="H73" s="16">
        <v>1.6224815699999999</v>
      </c>
      <c r="I73" s="14">
        <v>20.13488319</v>
      </c>
      <c r="J73" s="16">
        <v>1.95315098</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(2526/B75*100)</f>
        <v>85.079151229370154</v>
      </c>
      <c r="D75" s="15">
        <v>443</v>
      </c>
      <c r="E75" s="14">
        <v>68.821391329999997</v>
      </c>
      <c r="F75" s="16">
        <v>1.92815615</v>
      </c>
      <c r="G75" s="14">
        <v>18.641923869999999</v>
      </c>
      <c r="H75" s="16">
        <v>1.80902557</v>
      </c>
      <c r="I75" s="14">
        <v>12.5366848</v>
      </c>
      <c r="J75" s="16">
        <v>1.6377803500000001</v>
      </c>
      <c r="K75" s="14" t="s">
        <v>139</v>
      </c>
      <c r="L75" s="16" t="s">
        <v>139</v>
      </c>
      <c r="M75" s="14">
        <v>0</v>
      </c>
      <c r="N75" s="16">
        <v>0</v>
      </c>
      <c r="O75" s="14">
        <v>0</v>
      </c>
      <c r="P75" s="16">
        <v>0</v>
      </c>
      <c r="Q75" s="14">
        <v>0</v>
      </c>
      <c r="R75" s="16">
        <v>0</v>
      </c>
      <c r="S75" s="14">
        <v>0</v>
      </c>
      <c r="T75" s="16">
        <v>0</v>
      </c>
    </row>
    <row r="76" spans="1:20" x14ac:dyDescent="0.25">
      <c r="A76" s="11" t="s">
        <v>209</v>
      </c>
      <c r="B76" s="13">
        <v>7115</v>
      </c>
      <c r="C76" s="14">
        <f>(5923/B76*100)</f>
        <v>83.246661981728749</v>
      </c>
      <c r="D76" s="15">
        <v>1192</v>
      </c>
      <c r="E76" s="14">
        <v>38.313922060000003</v>
      </c>
      <c r="F76" s="16">
        <v>1.73512394</v>
      </c>
      <c r="G76" s="14">
        <v>27.461873300000001</v>
      </c>
      <c r="H76" s="16">
        <v>1.35690869</v>
      </c>
      <c r="I76" s="14">
        <v>34.224204640000004</v>
      </c>
      <c r="J76" s="16">
        <v>1.5517058500000001</v>
      </c>
      <c r="K76" s="14" t="s">
        <v>139</v>
      </c>
      <c r="L76" s="16" t="s">
        <v>139</v>
      </c>
      <c r="M76" s="14">
        <v>0</v>
      </c>
      <c r="N76" s="16">
        <v>0</v>
      </c>
      <c r="O76" s="14">
        <v>0</v>
      </c>
      <c r="P76" s="16">
        <v>0</v>
      </c>
      <c r="Q76" s="14">
        <v>0</v>
      </c>
      <c r="R76" s="16">
        <v>0</v>
      </c>
      <c r="S76" s="14">
        <v>0</v>
      </c>
      <c r="T76" s="16">
        <v>0</v>
      </c>
    </row>
    <row r="77" spans="1:20" x14ac:dyDescent="0.25">
      <c r="A77" s="11" t="s">
        <v>210</v>
      </c>
      <c r="B77" s="13">
        <v>3154</v>
      </c>
      <c r="C77" s="14">
        <f>(2663/B77*100)</f>
        <v>84.432466708941021</v>
      </c>
      <c r="D77" s="15">
        <v>491</v>
      </c>
      <c r="E77" s="14">
        <v>43.207038769999997</v>
      </c>
      <c r="F77" s="16">
        <v>2.2769141099999999</v>
      </c>
      <c r="G77" s="14">
        <v>24.815976150000001</v>
      </c>
      <c r="H77" s="16">
        <v>1.9520031900000001</v>
      </c>
      <c r="I77" s="14">
        <v>31.976985089999999</v>
      </c>
      <c r="J77" s="16">
        <v>2.1524919599999999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(3902/B81*100)</f>
        <v>83.056619838229025</v>
      </c>
      <c r="D81" s="15">
        <v>796</v>
      </c>
      <c r="E81" s="14">
        <v>34.024022680000002</v>
      </c>
      <c r="F81" s="16">
        <v>2.1279802700000001</v>
      </c>
      <c r="G81" s="14">
        <v>27.727561980000001</v>
      </c>
      <c r="H81" s="16">
        <v>1.9665770499999999</v>
      </c>
      <c r="I81" s="14">
        <v>38.248415340000001</v>
      </c>
      <c r="J81" s="16">
        <v>2.2668737800000001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(6066/B7*100)</f>
        <v>84.685187770487218</v>
      </c>
      <c r="D7" s="15">
        <v>1097</v>
      </c>
      <c r="E7" s="14">
        <v>32.260444540000002</v>
      </c>
      <c r="F7" s="16">
        <v>1.61201762</v>
      </c>
      <c r="G7" s="14">
        <v>67.739555460000005</v>
      </c>
      <c r="H7" s="16">
        <v>1.61201762</v>
      </c>
      <c r="I7" s="14" t="s">
        <v>139</v>
      </c>
      <c r="J7" s="16" t="s">
        <v>139</v>
      </c>
      <c r="K7" s="14">
        <v>0</v>
      </c>
      <c r="L7" s="16">
        <v>0</v>
      </c>
      <c r="M7" s="14">
        <v>0</v>
      </c>
      <c r="N7" s="16">
        <v>0</v>
      </c>
      <c r="O7" s="14">
        <v>0</v>
      </c>
      <c r="P7" s="16">
        <v>0</v>
      </c>
      <c r="Q7" s="14">
        <v>0</v>
      </c>
      <c r="R7" s="16">
        <v>0</v>
      </c>
    </row>
    <row r="8" spans="1:18" x14ac:dyDescent="0.25">
      <c r="A8" s="11" t="s">
        <v>140</v>
      </c>
      <c r="B8" s="13">
        <v>3443</v>
      </c>
      <c r="C8" s="14">
        <f>(2902/B8*100)</f>
        <v>84.286959047342435</v>
      </c>
      <c r="D8" s="15">
        <v>541</v>
      </c>
      <c r="E8" s="14">
        <v>47.762197559999997</v>
      </c>
      <c r="F8" s="16">
        <v>2.3151902999999998</v>
      </c>
      <c r="G8" s="14">
        <v>52.237802440000003</v>
      </c>
      <c r="H8" s="16">
        <v>2.3151902999999998</v>
      </c>
      <c r="I8" s="14" t="s">
        <v>139</v>
      </c>
      <c r="J8" s="16" t="s">
        <v>139</v>
      </c>
      <c r="K8" s="14">
        <v>0</v>
      </c>
      <c r="L8" s="16">
        <v>0</v>
      </c>
      <c r="M8" s="14">
        <v>0</v>
      </c>
      <c r="N8" s="16">
        <v>0</v>
      </c>
      <c r="O8" s="14">
        <v>0</v>
      </c>
      <c r="P8" s="16">
        <v>0</v>
      </c>
      <c r="Q8" s="14">
        <v>0</v>
      </c>
      <c r="R8" s="16">
        <v>0</v>
      </c>
    </row>
    <row r="9" spans="1:18" x14ac:dyDescent="0.25">
      <c r="A9" s="11" t="s">
        <v>141</v>
      </c>
      <c r="B9" s="13">
        <v>4752</v>
      </c>
      <c r="C9" s="14">
        <f>(4006/B9*100)</f>
        <v>84.301346801346796</v>
      </c>
      <c r="D9" s="15">
        <v>746</v>
      </c>
      <c r="E9" s="14">
        <v>42.68203741</v>
      </c>
      <c r="F9" s="16">
        <v>1.9927470300000001</v>
      </c>
      <c r="G9" s="14">
        <v>57.31796259</v>
      </c>
      <c r="H9" s="16">
        <v>1.9927470300000001</v>
      </c>
      <c r="I9" s="14" t="s">
        <v>139</v>
      </c>
      <c r="J9" s="16" t="s">
        <v>139</v>
      </c>
      <c r="K9" s="14">
        <v>0</v>
      </c>
      <c r="L9" s="16">
        <v>0</v>
      </c>
      <c r="M9" s="14">
        <v>0</v>
      </c>
      <c r="N9" s="16">
        <v>0</v>
      </c>
      <c r="O9" s="14">
        <v>0</v>
      </c>
      <c r="P9" s="16">
        <v>0</v>
      </c>
      <c r="Q9" s="14">
        <v>0</v>
      </c>
      <c r="R9" s="16">
        <v>0</v>
      </c>
    </row>
    <row r="10" spans="1:18" x14ac:dyDescent="0.25">
      <c r="A10" s="11" t="s">
        <v>142</v>
      </c>
      <c r="B10" s="13">
        <v>10022</v>
      </c>
      <c r="C10" s="14">
        <f>(8333/B10*100)</f>
        <v>83.147076431849925</v>
      </c>
      <c r="D10" s="15">
        <v>1689</v>
      </c>
      <c r="E10" s="14">
        <v>34.986292319999997</v>
      </c>
      <c r="F10" s="16">
        <v>1.59363962</v>
      </c>
      <c r="G10" s="14">
        <v>65.013707679999996</v>
      </c>
      <c r="H10" s="16">
        <v>1.59363962</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(2974/B11*100)</f>
        <v>84.971428571428575</v>
      </c>
      <c r="D11" s="15">
        <v>526</v>
      </c>
      <c r="E11" s="14">
        <v>65.583812449999996</v>
      </c>
      <c r="F11" s="16">
        <v>2.49401779</v>
      </c>
      <c r="G11" s="14">
        <v>34.416187549999997</v>
      </c>
      <c r="H11" s="16">
        <v>2.49401779</v>
      </c>
      <c r="I11" s="14" t="s">
        <v>139</v>
      </c>
      <c r="J11" s="16" t="s">
        <v>139</v>
      </c>
      <c r="K11" s="14">
        <v>0</v>
      </c>
      <c r="L11" s="16">
        <v>0</v>
      </c>
      <c r="M11" s="14">
        <v>0</v>
      </c>
      <c r="N11" s="16">
        <v>0</v>
      </c>
      <c r="O11" s="14">
        <v>0</v>
      </c>
      <c r="P11" s="16">
        <v>0</v>
      </c>
      <c r="Q11" s="14">
        <v>0</v>
      </c>
      <c r="R11" s="16">
        <v>0</v>
      </c>
    </row>
    <row r="12" spans="1:18" x14ac:dyDescent="0.25">
      <c r="A12" s="11" t="s">
        <v>144</v>
      </c>
      <c r="B12" s="13">
        <v>3422</v>
      </c>
      <c r="C12" s="14">
        <f>(2900/B12*100)</f>
        <v>84.745762711864401</v>
      </c>
      <c r="D12" s="15">
        <v>522</v>
      </c>
      <c r="E12" s="14">
        <v>51.045943229999999</v>
      </c>
      <c r="F12" s="16">
        <v>2.1709948099999998</v>
      </c>
      <c r="G12" s="14">
        <v>48.954056770000001</v>
      </c>
      <c r="H12" s="16">
        <v>2.1709948099999998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(3057/B13*100)</f>
        <v>84.869516935036089</v>
      </c>
      <c r="D13" s="15">
        <v>545</v>
      </c>
      <c r="E13" s="14">
        <v>42.485790989999998</v>
      </c>
      <c r="F13" s="16">
        <v>2.4452998099999999</v>
      </c>
      <c r="G13" s="14">
        <v>57.514209010000002</v>
      </c>
      <c r="H13" s="16">
        <v>2.4452998099999999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(2341/B14*100)</f>
        <v>83.967001434720231</v>
      </c>
      <c r="D14" s="15">
        <v>447</v>
      </c>
      <c r="E14" s="14">
        <v>57.345891870000003</v>
      </c>
      <c r="F14" s="16">
        <v>2.4447322300000001</v>
      </c>
      <c r="G14" s="14">
        <v>42.654108129999997</v>
      </c>
      <c r="H14" s="16">
        <v>2.4447322300000001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(2414/B15*100)</f>
        <v>84.317149842822218</v>
      </c>
      <c r="D15" s="15">
        <v>449</v>
      </c>
      <c r="E15" s="14">
        <v>29.635471859999999</v>
      </c>
      <c r="F15" s="16">
        <v>2.3776195599999999</v>
      </c>
      <c r="G15" s="14">
        <v>70.364528140000004</v>
      </c>
      <c r="H15" s="16">
        <v>2.3776195599999999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(2608/B16*100)</f>
        <v>83.83156541305047</v>
      </c>
      <c r="D16" s="15">
        <v>503</v>
      </c>
      <c r="E16" s="14">
        <v>45.023021810000003</v>
      </c>
      <c r="F16" s="16">
        <v>2.2972368400000001</v>
      </c>
      <c r="G16" s="14">
        <v>54.976978189999997</v>
      </c>
      <c r="H16" s="16">
        <v>2.2972368400000001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(2696/B17*100)</f>
        <v>84.329058492336557</v>
      </c>
      <c r="D17" s="15">
        <v>501</v>
      </c>
      <c r="E17" s="14">
        <v>41.297934720000001</v>
      </c>
      <c r="F17" s="16">
        <v>2.0036828299999998</v>
      </c>
      <c r="G17" s="14">
        <v>58.702065279999999</v>
      </c>
      <c r="H17" s="16">
        <v>2.0036828299999998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(2253/B18*100)</f>
        <v>83.259423503325948</v>
      </c>
      <c r="D18" s="15">
        <v>453</v>
      </c>
      <c r="E18" s="14">
        <v>65.740231460000004</v>
      </c>
      <c r="F18" s="16">
        <v>2.1403344299999998</v>
      </c>
      <c r="G18" s="14">
        <v>34.259768540000003</v>
      </c>
      <c r="H18" s="16">
        <v>2.1403344299999998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(2415/B19*100)</f>
        <v>84.73684210526315</v>
      </c>
      <c r="D19" s="15">
        <v>435</v>
      </c>
      <c r="E19" s="14">
        <v>62.020194259999997</v>
      </c>
      <c r="F19" s="16">
        <v>2.7578542800000001</v>
      </c>
      <c r="G19" s="14">
        <v>37.979805740000003</v>
      </c>
      <c r="H19" s="16">
        <v>2.7578542800000001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(1471/B20*100)</f>
        <v>84.49167145318782</v>
      </c>
      <c r="D20" s="15">
        <v>270</v>
      </c>
      <c r="E20" s="14">
        <v>51.882554290000002</v>
      </c>
      <c r="F20" s="16">
        <v>3.1785288500000002</v>
      </c>
      <c r="G20" s="14">
        <v>48.117445709999998</v>
      </c>
      <c r="H20" s="16">
        <v>3.1785288500000002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(3156/B22*100)</f>
        <v>86.064903190619034</v>
      </c>
      <c r="D22" s="15">
        <v>511</v>
      </c>
      <c r="E22" s="14">
        <v>64.05824398</v>
      </c>
      <c r="F22" s="16">
        <v>2.1423334000000001</v>
      </c>
      <c r="G22" s="14">
        <v>35.94175602</v>
      </c>
      <c r="H22" s="16">
        <v>2.1423334000000001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(4862/B23*100)</f>
        <v>83.943370165745861</v>
      </c>
      <c r="D23" s="15">
        <v>930</v>
      </c>
      <c r="E23" s="14">
        <v>55.518246599999998</v>
      </c>
      <c r="F23" s="16">
        <v>2.20090903</v>
      </c>
      <c r="G23" s="14">
        <v>44.481753400000002</v>
      </c>
      <c r="H23" s="16">
        <v>2.20090903</v>
      </c>
      <c r="I23" s="14" t="s">
        <v>139</v>
      </c>
      <c r="J23" s="16" t="s">
        <v>139</v>
      </c>
      <c r="K23" s="14">
        <v>0</v>
      </c>
      <c r="L23" s="16">
        <v>0</v>
      </c>
      <c r="M23" s="14">
        <v>0</v>
      </c>
      <c r="N23" s="16">
        <v>0</v>
      </c>
      <c r="O23" s="14">
        <v>0</v>
      </c>
      <c r="P23" s="16">
        <v>0</v>
      </c>
      <c r="Q23" s="14">
        <v>0</v>
      </c>
      <c r="R23" s="16">
        <v>0</v>
      </c>
    </row>
    <row r="24" spans="1:18" x14ac:dyDescent="0.25">
      <c r="A24" s="11" t="s">
        <v>157</v>
      </c>
      <c r="B24" s="13">
        <v>3309</v>
      </c>
      <c r="C24" s="14">
        <f>(2766/B24*100)</f>
        <v>83.590208522212151</v>
      </c>
      <c r="D24" s="15">
        <v>543</v>
      </c>
      <c r="E24" s="14">
        <v>18.770439119999999</v>
      </c>
      <c r="F24" s="16">
        <v>1.89030327</v>
      </c>
      <c r="G24" s="14">
        <v>81.229560879999994</v>
      </c>
      <c r="H24" s="16">
        <v>1.89030327</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(2211/B25*100)</f>
        <v>82.840014986886473</v>
      </c>
      <c r="D25" s="15">
        <v>458</v>
      </c>
      <c r="E25" s="14">
        <v>31.821698900000001</v>
      </c>
      <c r="F25" s="16">
        <v>1.97529482</v>
      </c>
      <c r="G25" s="14">
        <v>68.178301099999999</v>
      </c>
      <c r="H25" s="16">
        <v>1.97529482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(2015/B26*100)</f>
        <v>83.298883836295985</v>
      </c>
      <c r="D26" s="15">
        <v>404</v>
      </c>
      <c r="E26" s="14">
        <v>54.187875179999999</v>
      </c>
      <c r="F26" s="16">
        <v>2.7052233000000001</v>
      </c>
      <c r="G26" s="14">
        <v>45.812124820000001</v>
      </c>
      <c r="H26" s="16">
        <v>2.7052233000000001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(2280/B27*100)</f>
        <v>84.97950055907566</v>
      </c>
      <c r="D27" s="15">
        <v>403</v>
      </c>
      <c r="E27" s="14">
        <v>44.78457684</v>
      </c>
      <c r="F27" s="16">
        <v>2.37743327</v>
      </c>
      <c r="G27" s="14">
        <v>55.21542316</v>
      </c>
      <c r="H27" s="16">
        <v>2.37743327</v>
      </c>
      <c r="I27" s="14" t="s">
        <v>139</v>
      </c>
      <c r="J27" s="16" t="s">
        <v>139</v>
      </c>
      <c r="K27" s="14">
        <v>0</v>
      </c>
      <c r="L27" s="16">
        <v>0</v>
      </c>
      <c r="M27" s="14">
        <v>0</v>
      </c>
      <c r="N27" s="16">
        <v>0</v>
      </c>
      <c r="O27" s="14">
        <v>0</v>
      </c>
      <c r="P27" s="16">
        <v>0</v>
      </c>
      <c r="Q27" s="14">
        <v>0</v>
      </c>
      <c r="R27" s="16">
        <v>0</v>
      </c>
    </row>
    <row r="28" spans="1:18" x14ac:dyDescent="0.25">
      <c r="A28" s="11" t="s">
        <v>161</v>
      </c>
      <c r="B28" s="13">
        <v>3803</v>
      </c>
      <c r="C28" s="14">
        <f>(3327/B28*100)</f>
        <v>87.483565606100441</v>
      </c>
      <c r="D28" s="15">
        <v>476</v>
      </c>
      <c r="E28" s="14">
        <v>78.508669299999994</v>
      </c>
      <c r="F28" s="16">
        <v>2.1253539699999999</v>
      </c>
      <c r="G28" s="14">
        <v>21.491330699999999</v>
      </c>
      <c r="H28" s="16">
        <v>2.1253539699999999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39.590378659999999</v>
      </c>
      <c r="F29" s="16">
        <v>2.3109147399999999</v>
      </c>
      <c r="G29" s="14">
        <v>60.409621340000001</v>
      </c>
      <c r="H29" s="16">
        <v>2.3109147399999999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(1910/B30*100)</f>
        <v>84.625609215773139</v>
      </c>
      <c r="D30" s="15">
        <v>347</v>
      </c>
      <c r="E30" s="14">
        <v>32.697070750000002</v>
      </c>
      <c r="F30" s="16">
        <v>3.00249254</v>
      </c>
      <c r="G30" s="14">
        <v>67.302929250000005</v>
      </c>
      <c r="H30" s="16">
        <v>3.00249254</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(2273/B31*100)</f>
        <v>83.998521803399854</v>
      </c>
      <c r="D31" s="15">
        <v>433</v>
      </c>
      <c r="E31" s="14">
        <v>38.988071759999997</v>
      </c>
      <c r="F31" s="16">
        <v>2.6844560199999998</v>
      </c>
      <c r="G31" s="14">
        <v>61.011928240000003</v>
      </c>
      <c r="H31" s="16">
        <v>2.6844560199999998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(3113/B33*100)</f>
        <v>85.264311147630792</v>
      </c>
      <c r="D33" s="15">
        <v>538</v>
      </c>
      <c r="E33" s="14">
        <v>57.558237310000003</v>
      </c>
      <c r="F33" s="16">
        <v>2.4147545199999998</v>
      </c>
      <c r="G33" s="14">
        <v>42.441762689999997</v>
      </c>
      <c r="H33" s="16">
        <v>2.4147545199999998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(2601/B34*100)</f>
        <v>85.700164744645804</v>
      </c>
      <c r="D34" s="15">
        <v>434</v>
      </c>
      <c r="E34" s="14">
        <v>50.270166549999999</v>
      </c>
      <c r="F34" s="16">
        <v>3.0960223299999998</v>
      </c>
      <c r="G34" s="14">
        <v>49.729833450000001</v>
      </c>
      <c r="H34" s="16">
        <v>3.0960223299999998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(2410/B35*100)</f>
        <v>83.07480179248536</v>
      </c>
      <c r="D35" s="15">
        <v>491</v>
      </c>
      <c r="E35" s="14">
        <v>41.329794040000003</v>
      </c>
      <c r="F35" s="16">
        <v>2.9300565600000001</v>
      </c>
      <c r="G35" s="14">
        <v>58.670205959999997</v>
      </c>
      <c r="H35" s="16">
        <v>2.9300565600000001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(2894/B36*100)</f>
        <v>85.017626321974149</v>
      </c>
      <c r="D36" s="15">
        <v>510</v>
      </c>
      <c r="E36" s="14">
        <v>50.421719090000003</v>
      </c>
      <c r="F36" s="16">
        <v>2.2004298200000001</v>
      </c>
      <c r="G36" s="14">
        <v>49.578280909999997</v>
      </c>
      <c r="H36" s="16">
        <v>2.2004298200000001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(2339/B37*100)</f>
        <v>85.646283412669362</v>
      </c>
      <c r="D37" s="15">
        <v>392</v>
      </c>
      <c r="E37" s="14">
        <v>40.367456539999999</v>
      </c>
      <c r="F37" s="16">
        <v>2.6693567599999999</v>
      </c>
      <c r="G37" s="14">
        <v>59.632543460000001</v>
      </c>
      <c r="H37" s="16">
        <v>2.6693567599999999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(2416/B39*100)</f>
        <v>82.232811436351255</v>
      </c>
      <c r="D39" s="15">
        <v>522</v>
      </c>
      <c r="E39" s="14">
        <v>68.415055929999994</v>
      </c>
      <c r="F39" s="16">
        <v>2.4068323600000001</v>
      </c>
      <c r="G39" s="14">
        <v>31.584944069999999</v>
      </c>
      <c r="H39" s="16">
        <v>2.4068323600000001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(5707/B40*100)</f>
        <v>82.447269575267271</v>
      </c>
      <c r="D40" s="15">
        <v>1215</v>
      </c>
      <c r="E40" s="14">
        <v>39.253031729999996</v>
      </c>
      <c r="F40" s="16">
        <v>2.1533386000000001</v>
      </c>
      <c r="G40" s="14">
        <v>60.746968270000004</v>
      </c>
      <c r="H40" s="16">
        <v>2.1533386000000001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(2408/B41*100)</f>
        <v>84.37281009110022</v>
      </c>
      <c r="D41" s="15">
        <v>446</v>
      </c>
      <c r="E41" s="14">
        <v>42.941035040000003</v>
      </c>
      <c r="F41" s="16">
        <v>2.50986347</v>
      </c>
      <c r="G41" s="14">
        <v>57.058964959999997</v>
      </c>
      <c r="H41" s="16">
        <v>2.50986347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84.303307253358753</v>
      </c>
      <c r="D42" s="15">
        <f>IF(COUNT(D7:D41) &gt; 0, AVERAGE(D7:D41), "—")</f>
        <v>569.71875</v>
      </c>
      <c r="E42" s="14">
        <f>IF(COUNT(E7:E41) &gt; 0, AVERAGE(E7:E41), "—")</f>
        <v>47.476049565312493</v>
      </c>
      <c r="F42" s="16">
        <f>IF(COUNT(F7:F41) &gt; 0, SQRT(SUMSQ(F7:F41)/(COUNT(F7:F41)*COUNT(F7:F41)) ), "—")</f>
        <v>0.42303061392354013</v>
      </c>
      <c r="G42" s="14">
        <f>IF(COUNT(G7:G41) &gt; 0, AVERAGE(G7:G41), "—")</f>
        <v>52.523950434687492</v>
      </c>
      <c r="H42" s="16">
        <f>IF(COUNT(H7:H41) &gt; 0, SQRT(SUMSQ(H7:H41)/(COUNT(H7:H41)*COUNT(H7:H41)) ), "—")</f>
        <v>0.42303061392354013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(10851/B46*100)</f>
        <v>89.878240702393768</v>
      </c>
      <c r="D46" s="15">
        <v>1222</v>
      </c>
      <c r="E46" s="14">
        <v>73.204409569999996</v>
      </c>
      <c r="F46" s="16">
        <v>1.72686392</v>
      </c>
      <c r="G46" s="14">
        <v>26.795590430000001</v>
      </c>
      <c r="H46" s="16">
        <v>1.72686392</v>
      </c>
      <c r="I46" s="14" t="s">
        <v>139</v>
      </c>
      <c r="J46" s="16" t="s">
        <v>139</v>
      </c>
      <c r="K46" s="14">
        <v>0</v>
      </c>
      <c r="L46" s="16">
        <v>0</v>
      </c>
      <c r="M46" s="14">
        <v>0</v>
      </c>
      <c r="N46" s="16">
        <v>0</v>
      </c>
      <c r="O46" s="14">
        <v>0</v>
      </c>
      <c r="P46" s="16">
        <v>0</v>
      </c>
      <c r="Q46" s="14">
        <v>0</v>
      </c>
      <c r="R46" s="16">
        <v>0</v>
      </c>
    </row>
    <row r="47" spans="1:18" x14ac:dyDescent="0.25">
      <c r="A47" s="11" t="s">
        <v>180</v>
      </c>
      <c r="B47" s="13">
        <v>2823</v>
      </c>
      <c r="C47" s="14">
        <f>(2411/B47*100)</f>
        <v>85.405596882748853</v>
      </c>
      <c r="D47" s="15">
        <v>412</v>
      </c>
      <c r="E47" s="14">
        <v>57.784253460000002</v>
      </c>
      <c r="F47" s="16">
        <v>2.6137153199999998</v>
      </c>
      <c r="G47" s="14">
        <v>42.215746539999998</v>
      </c>
      <c r="H47" s="16">
        <v>2.6137153199999998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(3877/B48*100)</f>
        <v>82.806492951730021</v>
      </c>
      <c r="D48" s="15">
        <v>805</v>
      </c>
      <c r="E48" s="14">
        <v>45.611164539999997</v>
      </c>
      <c r="F48" s="16">
        <v>2.97905767</v>
      </c>
      <c r="G48" s="14">
        <v>54.388835460000003</v>
      </c>
      <c r="H48" s="16">
        <v>2.97905767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(5260/B50*100)</f>
        <v>85.417343293277042</v>
      </c>
      <c r="D50" s="15">
        <v>898</v>
      </c>
      <c r="E50" s="14">
        <v>73.259435949999997</v>
      </c>
      <c r="F50" s="16">
        <v>2.06534072</v>
      </c>
      <c r="G50" s="14">
        <v>26.74056405</v>
      </c>
      <c r="H50" s="16">
        <v>2.06534072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(3053/B51*100)</f>
        <v>87.378362907842018</v>
      </c>
      <c r="D51" s="15">
        <v>441</v>
      </c>
      <c r="E51" s="14">
        <v>72.435774359999996</v>
      </c>
      <c r="F51" s="16">
        <v>2.21026166</v>
      </c>
      <c r="G51" s="14">
        <v>27.56422564</v>
      </c>
      <c r="H51" s="16">
        <v>2.21026166</v>
      </c>
      <c r="I51" s="14" t="s">
        <v>139</v>
      </c>
      <c r="J51" s="16" t="s">
        <v>139</v>
      </c>
      <c r="K51" s="14">
        <v>0</v>
      </c>
      <c r="L51" s="16">
        <v>0</v>
      </c>
      <c r="M51" s="14">
        <v>0</v>
      </c>
      <c r="N51" s="16">
        <v>0</v>
      </c>
      <c r="O51" s="14">
        <v>0</v>
      </c>
      <c r="P51" s="16">
        <v>0</v>
      </c>
      <c r="Q51" s="14">
        <v>0</v>
      </c>
      <c r="R51" s="16">
        <v>0</v>
      </c>
    </row>
    <row r="52" spans="1:18" x14ac:dyDescent="0.25">
      <c r="A52" s="11" t="s">
        <v>185</v>
      </c>
      <c r="B52" s="13">
        <v>3013</v>
      </c>
      <c r="C52" s="14">
        <f>(2522/B52*100)</f>
        <v>83.703949551941577</v>
      </c>
      <c r="D52" s="15">
        <v>491</v>
      </c>
      <c r="E52" s="14">
        <v>59.799926640000002</v>
      </c>
      <c r="F52" s="16">
        <v>2.1502364100000002</v>
      </c>
      <c r="G52" s="14">
        <v>40.200073359999998</v>
      </c>
      <c r="H52" s="16">
        <v>2.1502364100000002</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(2311/B53*100)</f>
        <v>83.731884057971016</v>
      </c>
      <c r="D53" s="15">
        <v>449</v>
      </c>
      <c r="E53" s="14">
        <v>62.627738989999997</v>
      </c>
      <c r="F53" s="16">
        <v>2.3733115699999998</v>
      </c>
      <c r="G53" s="14">
        <v>37.372261010000003</v>
      </c>
      <c r="H53" s="16">
        <v>2.3733115699999998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(2211/B56*100)</f>
        <v>82.654205607476641</v>
      </c>
      <c r="D56" s="15">
        <v>464</v>
      </c>
      <c r="E56" s="14">
        <v>53.60515505</v>
      </c>
      <c r="F56" s="16">
        <v>2.2447625800000002</v>
      </c>
      <c r="G56" s="14">
        <v>46.39484495</v>
      </c>
      <c r="H56" s="16">
        <v>2.2447625800000002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(2683/B61*100)</f>
        <v>83.817557013433301</v>
      </c>
      <c r="D61" s="15">
        <v>518</v>
      </c>
      <c r="E61" s="14">
        <v>64.115616410000001</v>
      </c>
      <c r="F61" s="16">
        <v>2.37722357</v>
      </c>
      <c r="G61" s="14">
        <v>35.884383589999999</v>
      </c>
      <c r="H61" s="16">
        <v>2.37722357</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(1862/B62*100)</f>
        <v>83.49775784753362</v>
      </c>
      <c r="D62" s="15">
        <v>368</v>
      </c>
      <c r="E62" s="14">
        <v>39.645952579999999</v>
      </c>
      <c r="F62" s="16">
        <v>2.68055895</v>
      </c>
      <c r="G62" s="14">
        <v>60.354047420000001</v>
      </c>
      <c r="H62" s="16">
        <v>2.68055895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(2350/B66*100)</f>
        <v>84.806928906531937</v>
      </c>
      <c r="D66" s="15">
        <v>421</v>
      </c>
      <c r="E66" s="14">
        <v>73.700229750000005</v>
      </c>
      <c r="F66" s="16">
        <v>1.77737714</v>
      </c>
      <c r="G66" s="14">
        <v>26.299770250000002</v>
      </c>
      <c r="H66" s="16">
        <v>1.77737714</v>
      </c>
      <c r="I66" s="14" t="s">
        <v>139</v>
      </c>
      <c r="J66" s="16" t="s">
        <v>139</v>
      </c>
      <c r="K66" s="14">
        <v>0</v>
      </c>
      <c r="L66" s="16">
        <v>0</v>
      </c>
      <c r="M66" s="14">
        <v>0</v>
      </c>
      <c r="N66" s="16">
        <v>0</v>
      </c>
      <c r="O66" s="14">
        <v>0</v>
      </c>
      <c r="P66" s="16">
        <v>0</v>
      </c>
      <c r="Q66" s="14">
        <v>0</v>
      </c>
      <c r="R66" s="16">
        <v>0</v>
      </c>
    </row>
    <row r="67" spans="1:18" x14ac:dyDescent="0.25">
      <c r="A67" s="11" t="s">
        <v>200</v>
      </c>
      <c r="B67" s="13">
        <v>3460</v>
      </c>
      <c r="C67" s="14">
        <f>(3046/B67*100)</f>
        <v>88.034682080924853</v>
      </c>
      <c r="D67" s="15">
        <v>414</v>
      </c>
      <c r="E67" s="14">
        <v>73.331484079999996</v>
      </c>
      <c r="F67" s="16">
        <v>1.9127939300000001</v>
      </c>
      <c r="G67" s="14">
        <v>26.668515920000001</v>
      </c>
      <c r="H67" s="16">
        <v>1.9127939300000001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(2633/B70*100)</f>
        <v>84.744126166720307</v>
      </c>
      <c r="D70" s="15">
        <v>474</v>
      </c>
      <c r="E70" s="14">
        <v>66.153971069999997</v>
      </c>
      <c r="F70" s="16">
        <v>2.9084186000000001</v>
      </c>
      <c r="G70" s="14">
        <v>33.846028930000003</v>
      </c>
      <c r="H70" s="16">
        <v>2.9084186000000001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34.04464815</v>
      </c>
      <c r="F72" s="16">
        <v>2.0288488</v>
      </c>
      <c r="G72" s="14">
        <v>65.95535185</v>
      </c>
      <c r="H72" s="16">
        <v>2.0288488</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(4007/B73*100)</f>
        <v>86.134995700773871</v>
      </c>
      <c r="D73" s="15">
        <v>645</v>
      </c>
      <c r="E73" s="14">
        <v>69.683217990000003</v>
      </c>
      <c r="F73" s="16">
        <v>2.05662002</v>
      </c>
      <c r="G73" s="14">
        <v>30.316782010000001</v>
      </c>
      <c r="H73" s="16">
        <v>2.05662002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(2538/B75*100)</f>
        <v>85.483327719770969</v>
      </c>
      <c r="D75" s="15">
        <v>431</v>
      </c>
      <c r="E75" s="14">
        <v>81.891203759999996</v>
      </c>
      <c r="F75" s="16">
        <v>1.75648161</v>
      </c>
      <c r="G75" s="14">
        <v>18.10879624</v>
      </c>
      <c r="H75" s="16">
        <v>1.75648161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(5931/B76*100)</f>
        <v>83.359100491918483</v>
      </c>
      <c r="D76" s="15">
        <v>1184</v>
      </c>
      <c r="E76" s="14">
        <v>67.953763330000001</v>
      </c>
      <c r="F76" s="16">
        <v>1.8776758899999999</v>
      </c>
      <c r="G76" s="14">
        <v>32.046236669999999</v>
      </c>
      <c r="H76" s="16">
        <v>1.8776758899999999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(2692/B77*100)</f>
        <v>85.351934051997475</v>
      </c>
      <c r="D77" s="15">
        <v>462</v>
      </c>
      <c r="E77" s="14">
        <v>64.588773200000006</v>
      </c>
      <c r="F77" s="16">
        <v>2.5935943199999998</v>
      </c>
      <c r="G77" s="14">
        <v>35.411226800000001</v>
      </c>
      <c r="H77" s="16">
        <v>2.5935943199999998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(3923/B81*100)</f>
        <v>83.503618561089823</v>
      </c>
      <c r="D81" s="15">
        <v>775</v>
      </c>
      <c r="E81" s="14">
        <v>70.804398169999999</v>
      </c>
      <c r="F81" s="16">
        <v>1.9967960899999999</v>
      </c>
      <c r="G81" s="14">
        <v>29.195601830000001</v>
      </c>
      <c r="H81" s="16">
        <v>1.9967960899999999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(6066/B7*100)</f>
        <v>84.685187770487218</v>
      </c>
      <c r="D7" s="15">
        <v>1097</v>
      </c>
      <c r="E7" s="14">
        <v>35.771504739999997</v>
      </c>
      <c r="F7" s="16">
        <v>1.6793285</v>
      </c>
      <c r="G7" s="14">
        <v>64.228495260000003</v>
      </c>
      <c r="H7" s="16">
        <v>1.6793285</v>
      </c>
      <c r="I7" s="14" t="s">
        <v>139</v>
      </c>
      <c r="J7" s="16" t="s">
        <v>139</v>
      </c>
      <c r="K7" s="14">
        <v>0</v>
      </c>
      <c r="L7" s="16">
        <v>0</v>
      </c>
      <c r="M7" s="14">
        <v>0</v>
      </c>
      <c r="N7" s="16">
        <v>0</v>
      </c>
      <c r="O7" s="14">
        <v>0</v>
      </c>
      <c r="P7" s="16">
        <v>0</v>
      </c>
      <c r="Q7" s="14">
        <v>0</v>
      </c>
      <c r="R7" s="16">
        <v>0</v>
      </c>
    </row>
    <row r="8" spans="1:18" x14ac:dyDescent="0.25">
      <c r="A8" s="11" t="s">
        <v>140</v>
      </c>
      <c r="B8" s="13">
        <v>3443</v>
      </c>
      <c r="C8" s="14">
        <f>(2902/B8*100)</f>
        <v>84.286959047342435</v>
      </c>
      <c r="D8" s="15">
        <v>541</v>
      </c>
      <c r="E8" s="14">
        <v>42.73989117</v>
      </c>
      <c r="F8" s="16">
        <v>2.1601567199999998</v>
      </c>
      <c r="G8" s="14">
        <v>57.26010883</v>
      </c>
      <c r="H8" s="16">
        <v>2.1601567199999998</v>
      </c>
      <c r="I8" s="14" t="s">
        <v>139</v>
      </c>
      <c r="J8" s="16" t="s">
        <v>139</v>
      </c>
      <c r="K8" s="14">
        <v>0</v>
      </c>
      <c r="L8" s="16">
        <v>0</v>
      </c>
      <c r="M8" s="14">
        <v>0</v>
      </c>
      <c r="N8" s="16">
        <v>0</v>
      </c>
      <c r="O8" s="14">
        <v>0</v>
      </c>
      <c r="P8" s="16">
        <v>0</v>
      </c>
      <c r="Q8" s="14">
        <v>0</v>
      </c>
      <c r="R8" s="16">
        <v>0</v>
      </c>
    </row>
    <row r="9" spans="1:18" x14ac:dyDescent="0.25">
      <c r="A9" s="11" t="s">
        <v>141</v>
      </c>
      <c r="B9" s="13">
        <v>4752</v>
      </c>
      <c r="C9" s="14">
        <f>(4006/B9*100)</f>
        <v>84.301346801346796</v>
      </c>
      <c r="D9" s="15">
        <v>746</v>
      </c>
      <c r="E9" s="14">
        <v>42.25008691</v>
      </c>
      <c r="F9" s="16">
        <v>1.94505532</v>
      </c>
      <c r="G9" s="14">
        <v>57.74991309</v>
      </c>
      <c r="H9" s="16">
        <v>1.94505532</v>
      </c>
      <c r="I9" s="14" t="s">
        <v>139</v>
      </c>
      <c r="J9" s="16" t="s">
        <v>139</v>
      </c>
      <c r="K9" s="14">
        <v>0</v>
      </c>
      <c r="L9" s="16">
        <v>0</v>
      </c>
      <c r="M9" s="14">
        <v>0</v>
      </c>
      <c r="N9" s="16">
        <v>0</v>
      </c>
      <c r="O9" s="14">
        <v>0</v>
      </c>
      <c r="P9" s="16">
        <v>0</v>
      </c>
      <c r="Q9" s="14">
        <v>0</v>
      </c>
      <c r="R9" s="16">
        <v>0</v>
      </c>
    </row>
    <row r="10" spans="1:18" x14ac:dyDescent="0.25">
      <c r="A10" s="11" t="s">
        <v>142</v>
      </c>
      <c r="B10" s="13">
        <v>10022</v>
      </c>
      <c r="C10" s="14">
        <f>(8333/B10*100)</f>
        <v>83.147076431849925</v>
      </c>
      <c r="D10" s="15">
        <v>1689</v>
      </c>
      <c r="E10" s="14">
        <v>34.818435409999999</v>
      </c>
      <c r="F10" s="16">
        <v>1.54163659</v>
      </c>
      <c r="G10" s="14">
        <v>65.181564589999994</v>
      </c>
      <c r="H10" s="16">
        <v>1.54163659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(2974/B11*100)</f>
        <v>84.971428571428575</v>
      </c>
      <c r="D11" s="15">
        <v>526</v>
      </c>
      <c r="E11" s="14">
        <v>61.74897773</v>
      </c>
      <c r="F11" s="16">
        <v>2.56128942</v>
      </c>
      <c r="G11" s="14">
        <v>38.25102227</v>
      </c>
      <c r="H11" s="16">
        <v>2.56128942</v>
      </c>
      <c r="I11" s="14" t="s">
        <v>139</v>
      </c>
      <c r="J11" s="16" t="s">
        <v>139</v>
      </c>
      <c r="K11" s="14">
        <v>0</v>
      </c>
      <c r="L11" s="16">
        <v>0</v>
      </c>
      <c r="M11" s="14">
        <v>0</v>
      </c>
      <c r="N11" s="16">
        <v>0</v>
      </c>
      <c r="O11" s="14">
        <v>0</v>
      </c>
      <c r="P11" s="16">
        <v>0</v>
      </c>
      <c r="Q11" s="14">
        <v>0</v>
      </c>
      <c r="R11" s="16">
        <v>0</v>
      </c>
    </row>
    <row r="12" spans="1:18" x14ac:dyDescent="0.25">
      <c r="A12" s="11" t="s">
        <v>144</v>
      </c>
      <c r="B12" s="13">
        <v>3422</v>
      </c>
      <c r="C12" s="14">
        <f>(2900/B12*100)</f>
        <v>84.745762711864401</v>
      </c>
      <c r="D12" s="15">
        <v>522</v>
      </c>
      <c r="E12" s="14">
        <v>50.603545089999997</v>
      </c>
      <c r="F12" s="16">
        <v>2.6425282800000001</v>
      </c>
      <c r="G12" s="14">
        <v>49.396454910000003</v>
      </c>
      <c r="H12" s="16">
        <v>2.6425282800000001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(3057/B13*100)</f>
        <v>84.869516935036089</v>
      </c>
      <c r="D13" s="15">
        <v>545</v>
      </c>
      <c r="E13" s="14">
        <v>50.917574479999999</v>
      </c>
      <c r="F13" s="16">
        <v>2.3193330799999998</v>
      </c>
      <c r="G13" s="14">
        <v>49.082425520000001</v>
      </c>
      <c r="H13" s="16">
        <v>2.3193330799999998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(2341/B14*100)</f>
        <v>83.967001434720231</v>
      </c>
      <c r="D14" s="15">
        <v>447</v>
      </c>
      <c r="E14" s="14">
        <v>44.32018875</v>
      </c>
      <c r="F14" s="16">
        <v>2.4776568999999999</v>
      </c>
      <c r="G14" s="14">
        <v>55.67981125</v>
      </c>
      <c r="H14" s="16">
        <v>2.4776568999999999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(2414/B15*100)</f>
        <v>84.317149842822218</v>
      </c>
      <c r="D15" s="15">
        <v>449</v>
      </c>
      <c r="E15" s="14">
        <v>40.343858939999997</v>
      </c>
      <c r="F15" s="16">
        <v>2.58144996</v>
      </c>
      <c r="G15" s="14">
        <v>59.656141060000003</v>
      </c>
      <c r="H15" s="16">
        <v>2.58144996</v>
      </c>
      <c r="I15" s="14" t="s">
        <v>139</v>
      </c>
      <c r="J15" s="16" t="s">
        <v>139</v>
      </c>
      <c r="K15" s="14">
        <v>0</v>
      </c>
      <c r="L15" s="16">
        <v>0</v>
      </c>
      <c r="M15" s="14">
        <v>0</v>
      </c>
      <c r="N15" s="16">
        <v>0</v>
      </c>
      <c r="O15" s="14">
        <v>0</v>
      </c>
      <c r="P15" s="16">
        <v>0</v>
      </c>
      <c r="Q15" s="14">
        <v>0</v>
      </c>
      <c r="R15" s="16">
        <v>0</v>
      </c>
    </row>
    <row r="16" spans="1:18" x14ac:dyDescent="0.25">
      <c r="A16" s="11" t="s">
        <v>148</v>
      </c>
      <c r="B16" s="13">
        <v>3111</v>
      </c>
      <c r="C16" s="14">
        <f>(2608/B16*100)</f>
        <v>83.83156541305047</v>
      </c>
      <c r="D16" s="15">
        <v>503</v>
      </c>
      <c r="E16" s="14">
        <v>51.303958450000003</v>
      </c>
      <c r="F16" s="16">
        <v>2.2405214600000001</v>
      </c>
      <c r="G16" s="14">
        <v>48.696041549999997</v>
      </c>
      <c r="H16" s="16">
        <v>2.2405214600000001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(2696/B17*100)</f>
        <v>84.329058492336557</v>
      </c>
      <c r="D17" s="15">
        <v>501</v>
      </c>
      <c r="E17" s="14">
        <v>43.794847130000001</v>
      </c>
      <c r="F17" s="16">
        <v>2.36161427</v>
      </c>
      <c r="G17" s="14">
        <v>56.205152869999999</v>
      </c>
      <c r="H17" s="16">
        <v>2.36161427</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(2253/B18*100)</f>
        <v>83.259423503325948</v>
      </c>
      <c r="D18" s="15">
        <v>453</v>
      </c>
      <c r="E18" s="14">
        <v>51.454698399999998</v>
      </c>
      <c r="F18" s="16">
        <v>2.0681224600000001</v>
      </c>
      <c r="G18" s="14">
        <v>48.545301600000002</v>
      </c>
      <c r="H18" s="16">
        <v>2.0681224600000001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(2415/B19*100)</f>
        <v>84.73684210526315</v>
      </c>
      <c r="D19" s="15">
        <v>435</v>
      </c>
      <c r="E19" s="14">
        <v>51.474343599999997</v>
      </c>
      <c r="F19" s="16">
        <v>2.5619288199999999</v>
      </c>
      <c r="G19" s="14">
        <v>48.525656400000003</v>
      </c>
      <c r="H19" s="16">
        <v>2.5619288199999999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(1471/B20*100)</f>
        <v>84.49167145318782</v>
      </c>
      <c r="D20" s="15">
        <v>270</v>
      </c>
      <c r="E20" s="14">
        <v>39.456558020000003</v>
      </c>
      <c r="F20" s="16">
        <v>3.5689412300000001</v>
      </c>
      <c r="G20" s="14">
        <v>60.543441979999997</v>
      </c>
      <c r="H20" s="16">
        <v>3.5689412300000001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(3156/B22*100)</f>
        <v>86.064903190619034</v>
      </c>
      <c r="D22" s="15">
        <v>511</v>
      </c>
      <c r="E22" s="14">
        <v>56.90981069</v>
      </c>
      <c r="F22" s="16">
        <v>2.3538901800000001</v>
      </c>
      <c r="G22" s="14">
        <v>43.09018931</v>
      </c>
      <c r="H22" s="16">
        <v>2.3538901800000001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(4862/B23*100)</f>
        <v>83.943370165745861</v>
      </c>
      <c r="D23" s="15">
        <v>930</v>
      </c>
      <c r="E23" s="14">
        <v>52.879951630000001</v>
      </c>
      <c r="F23" s="16">
        <v>2.3271819300000001</v>
      </c>
      <c r="G23" s="14">
        <v>47.120048369999999</v>
      </c>
      <c r="H23" s="16">
        <v>2.3271819300000001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(2766/B24*100)</f>
        <v>83.590208522212151</v>
      </c>
      <c r="D24" s="15">
        <v>543</v>
      </c>
      <c r="E24" s="14">
        <v>26.197269680000002</v>
      </c>
      <c r="F24" s="16">
        <v>2.0257225600000002</v>
      </c>
      <c r="G24" s="14">
        <v>73.802730319999995</v>
      </c>
      <c r="H24" s="16">
        <v>2.0257225600000002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(2211/B25*100)</f>
        <v>82.840014986886473</v>
      </c>
      <c r="D25" s="15">
        <v>458</v>
      </c>
      <c r="E25" s="14">
        <v>19.107800919999999</v>
      </c>
      <c r="F25" s="16">
        <v>2.0013729100000002</v>
      </c>
      <c r="G25" s="14">
        <v>80.892199079999997</v>
      </c>
      <c r="H25" s="16">
        <v>2.0013729100000002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(2015/B26*100)</f>
        <v>83.298883836295985</v>
      </c>
      <c r="D26" s="15">
        <v>404</v>
      </c>
      <c r="E26" s="14">
        <v>47.207369450000002</v>
      </c>
      <c r="F26" s="16">
        <v>2.8452976200000002</v>
      </c>
      <c r="G26" s="14">
        <v>52.792630549999998</v>
      </c>
      <c r="H26" s="16">
        <v>2.8452976200000002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(2280/B27*100)</f>
        <v>84.97950055907566</v>
      </c>
      <c r="D27" s="15">
        <v>403</v>
      </c>
      <c r="E27" s="14">
        <v>49.162313570000002</v>
      </c>
      <c r="F27" s="16">
        <v>2.3690236200000001</v>
      </c>
      <c r="G27" s="14">
        <v>50.837686429999998</v>
      </c>
      <c r="H27" s="16">
        <v>2.3690236200000001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(3327/B28*100)</f>
        <v>87.483565606100441</v>
      </c>
      <c r="D28" s="15">
        <v>476</v>
      </c>
      <c r="E28" s="14">
        <v>69.170088100000001</v>
      </c>
      <c r="F28" s="16">
        <v>2.2106889199999999</v>
      </c>
      <c r="G28" s="14">
        <v>30.829911899999999</v>
      </c>
      <c r="H28" s="16">
        <v>2.2106889199999999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52.75052367</v>
      </c>
      <c r="F29" s="16">
        <v>2.2086905200000002</v>
      </c>
      <c r="G29" s="14">
        <v>47.24947633</v>
      </c>
      <c r="H29" s="16">
        <v>2.2086905200000002</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(1910/B30*100)</f>
        <v>84.625609215773139</v>
      </c>
      <c r="D30" s="15">
        <v>347</v>
      </c>
      <c r="E30" s="14">
        <v>32.959421990000003</v>
      </c>
      <c r="F30" s="16">
        <v>2.4011533900000002</v>
      </c>
      <c r="G30" s="14">
        <v>67.040578010000004</v>
      </c>
      <c r="H30" s="16">
        <v>2.4011533900000002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(2273/B31*100)</f>
        <v>83.998521803399854</v>
      </c>
      <c r="D31" s="15">
        <v>433</v>
      </c>
      <c r="E31" s="14">
        <v>41.770379910000003</v>
      </c>
      <c r="F31" s="16">
        <v>2.2928020400000002</v>
      </c>
      <c r="G31" s="14">
        <v>58.229620089999997</v>
      </c>
      <c r="H31" s="16">
        <v>2.2928020400000002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(3113/B33*100)</f>
        <v>85.264311147630792</v>
      </c>
      <c r="D33" s="15">
        <v>538</v>
      </c>
      <c r="E33" s="14">
        <v>54.407955989999998</v>
      </c>
      <c r="F33" s="16">
        <v>2.2811706200000001</v>
      </c>
      <c r="G33" s="14">
        <v>45.592044010000002</v>
      </c>
      <c r="H33" s="16">
        <v>2.2811706200000001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(2601/B34*100)</f>
        <v>85.700164744645804</v>
      </c>
      <c r="D34" s="15">
        <v>434</v>
      </c>
      <c r="E34" s="14">
        <v>67.21648218</v>
      </c>
      <c r="F34" s="16">
        <v>2.5108811100000001</v>
      </c>
      <c r="G34" s="14">
        <v>32.78351782</v>
      </c>
      <c r="H34" s="16">
        <v>2.5108811100000001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(2410/B35*100)</f>
        <v>83.07480179248536</v>
      </c>
      <c r="D35" s="15">
        <v>491</v>
      </c>
      <c r="E35" s="14">
        <v>46.262578480000002</v>
      </c>
      <c r="F35" s="16">
        <v>2.7113427799999998</v>
      </c>
      <c r="G35" s="14">
        <v>53.737421519999998</v>
      </c>
      <c r="H35" s="16">
        <v>2.7113427799999998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(2894/B36*100)</f>
        <v>85.017626321974149</v>
      </c>
      <c r="D36" s="15">
        <v>510</v>
      </c>
      <c r="E36" s="14">
        <v>41.391869270000001</v>
      </c>
      <c r="F36" s="16">
        <v>2.3429646499999999</v>
      </c>
      <c r="G36" s="14">
        <v>58.608130729999999</v>
      </c>
      <c r="H36" s="16">
        <v>2.3429646499999999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(2339/B37*100)</f>
        <v>85.646283412669362</v>
      </c>
      <c r="D37" s="15">
        <v>392</v>
      </c>
      <c r="E37" s="14">
        <v>46.852360740000002</v>
      </c>
      <c r="F37" s="16">
        <v>2.3281928199999999</v>
      </c>
      <c r="G37" s="14">
        <v>53.147639259999998</v>
      </c>
      <c r="H37" s="16">
        <v>2.3281928199999999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(2416/B39*100)</f>
        <v>82.232811436351255</v>
      </c>
      <c r="D39" s="15">
        <v>522</v>
      </c>
      <c r="E39" s="14">
        <v>56.894229629999998</v>
      </c>
      <c r="F39" s="16">
        <v>2.5100898300000001</v>
      </c>
      <c r="G39" s="14">
        <v>43.105770370000002</v>
      </c>
      <c r="H39" s="16">
        <v>2.5100898300000001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(5707/B40*100)</f>
        <v>82.447269575267271</v>
      </c>
      <c r="D40" s="15">
        <v>1215</v>
      </c>
      <c r="E40" s="14">
        <v>35.040259929999998</v>
      </c>
      <c r="F40" s="16">
        <v>2.2635838399999999</v>
      </c>
      <c r="G40" s="14">
        <v>64.959740069999995</v>
      </c>
      <c r="H40" s="16">
        <v>2.2635838399999999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(2408/B41*100)</f>
        <v>84.37281009110022</v>
      </c>
      <c r="D41" s="15">
        <v>446</v>
      </c>
      <c r="E41" s="14">
        <v>38.236231850000003</v>
      </c>
      <c r="F41" s="16">
        <v>2.64552772</v>
      </c>
      <c r="G41" s="14">
        <v>61.763768149999997</v>
      </c>
      <c r="H41" s="16">
        <v>2.64552772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84.303307253358753</v>
      </c>
      <c r="D42" s="15">
        <f>IF(COUNT(D7:D41) &gt; 0, AVERAGE(D7:D41), "—")</f>
        <v>569.71875</v>
      </c>
      <c r="E42" s="14">
        <f>IF(COUNT(E7:E41) &gt; 0, AVERAGE(E7:E41), "—")</f>
        <v>46.106730203124989</v>
      </c>
      <c r="F42" s="16">
        <f>IF(COUNT(F7:F41) &gt; 0, SQRT(SUMSQ(F7:F41)/(COUNT(F7:F41)*COUNT(F7:F41)) ), "—")</f>
        <v>0.42077505310209923</v>
      </c>
      <c r="G42" s="14">
        <f>IF(COUNT(G7:G41) &gt; 0, AVERAGE(G7:G41), "—")</f>
        <v>53.893269796875018</v>
      </c>
      <c r="H42" s="16">
        <f>IF(COUNT(H7:H41) &gt; 0, SQRT(SUMSQ(H7:H41)/(COUNT(H7:H41)*COUNT(H7:H41)) ), "—")</f>
        <v>0.42077505310209923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(10851/B46*100)</f>
        <v>89.878240702393768</v>
      </c>
      <c r="D46" s="15">
        <v>1222</v>
      </c>
      <c r="E46" s="14">
        <v>66.430145089999996</v>
      </c>
      <c r="F46" s="16">
        <v>1.6411666300000001</v>
      </c>
      <c r="G46" s="14">
        <v>33.569854909999997</v>
      </c>
      <c r="H46" s="16">
        <v>1.6411666300000001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(2411/B47*100)</f>
        <v>85.405596882748853</v>
      </c>
      <c r="D47" s="15">
        <v>412</v>
      </c>
      <c r="E47" s="14">
        <v>60.786078209999999</v>
      </c>
      <c r="F47" s="16">
        <v>2.41201394</v>
      </c>
      <c r="G47" s="14">
        <v>39.213921790000001</v>
      </c>
      <c r="H47" s="16">
        <v>2.41201394</v>
      </c>
      <c r="I47" s="14" t="s">
        <v>139</v>
      </c>
      <c r="J47" s="16" t="s">
        <v>139</v>
      </c>
      <c r="K47" s="14">
        <v>0</v>
      </c>
      <c r="L47" s="16">
        <v>0</v>
      </c>
      <c r="M47" s="14">
        <v>0</v>
      </c>
      <c r="N47" s="16">
        <v>0</v>
      </c>
      <c r="O47" s="14">
        <v>0</v>
      </c>
      <c r="P47" s="16">
        <v>0</v>
      </c>
      <c r="Q47" s="14">
        <v>0</v>
      </c>
      <c r="R47" s="16">
        <v>0</v>
      </c>
    </row>
    <row r="48" spans="1:18" x14ac:dyDescent="0.25">
      <c r="A48" s="11" t="s">
        <v>181</v>
      </c>
      <c r="B48" s="13">
        <v>4682</v>
      </c>
      <c r="C48" s="14">
        <f>(3877/B48*100)</f>
        <v>82.806492951730021</v>
      </c>
      <c r="D48" s="15">
        <v>805</v>
      </c>
      <c r="E48" s="14">
        <v>48.136069620000001</v>
      </c>
      <c r="F48" s="16">
        <v>2.4492333899999998</v>
      </c>
      <c r="G48" s="14">
        <v>51.863930379999999</v>
      </c>
      <c r="H48" s="16">
        <v>2.4492333899999998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(5260/B50*100)</f>
        <v>85.417343293277042</v>
      </c>
      <c r="D50" s="15">
        <v>898</v>
      </c>
      <c r="E50" s="14">
        <v>64.687118089999998</v>
      </c>
      <c r="F50" s="16">
        <v>2.11000202</v>
      </c>
      <c r="G50" s="14">
        <v>35.312881910000002</v>
      </c>
      <c r="H50" s="16">
        <v>2.11000202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(3053/B51*100)</f>
        <v>87.378362907842018</v>
      </c>
      <c r="D51" s="15">
        <v>441</v>
      </c>
      <c r="E51" s="14">
        <v>60.828024730000003</v>
      </c>
      <c r="F51" s="16">
        <v>2.3559973599999999</v>
      </c>
      <c r="G51" s="14">
        <v>39.171975269999997</v>
      </c>
      <c r="H51" s="16">
        <v>2.3559973599999999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(2522/B52*100)</f>
        <v>83.703949551941577</v>
      </c>
      <c r="D52" s="15">
        <v>491</v>
      </c>
      <c r="E52" s="14">
        <v>45.021012910000003</v>
      </c>
      <c r="F52" s="16">
        <v>2.3668639599999999</v>
      </c>
      <c r="G52" s="14">
        <v>54.978987089999997</v>
      </c>
      <c r="H52" s="16">
        <v>2.3668639599999999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(2311/B53*100)</f>
        <v>83.731884057971016</v>
      </c>
      <c r="D53" s="15">
        <v>449</v>
      </c>
      <c r="E53" s="14">
        <v>54.417575669999998</v>
      </c>
      <c r="F53" s="16">
        <v>2.0663964199999998</v>
      </c>
      <c r="G53" s="14">
        <v>45.582424330000002</v>
      </c>
      <c r="H53" s="16">
        <v>2.0663964199999998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(2211/B56*100)</f>
        <v>82.654205607476641</v>
      </c>
      <c r="D56" s="15">
        <v>464</v>
      </c>
      <c r="E56" s="14">
        <v>27.868142840000001</v>
      </c>
      <c r="F56" s="16">
        <v>2.0784244200000002</v>
      </c>
      <c r="G56" s="14">
        <v>72.131857159999996</v>
      </c>
      <c r="H56" s="16">
        <v>2.0784244200000002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(2683/B61*100)</f>
        <v>83.817557013433301</v>
      </c>
      <c r="D61" s="15">
        <v>518</v>
      </c>
      <c r="E61" s="14">
        <v>61.228213320000002</v>
      </c>
      <c r="F61" s="16">
        <v>2.3712148200000001</v>
      </c>
      <c r="G61" s="14">
        <v>38.771786679999998</v>
      </c>
      <c r="H61" s="16">
        <v>2.3712148200000001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(1862/B62*100)</f>
        <v>83.49775784753362</v>
      </c>
      <c r="D62" s="15">
        <v>368</v>
      </c>
      <c r="E62" s="14">
        <v>27.670006610000002</v>
      </c>
      <c r="F62" s="16">
        <v>2.6079355400000002</v>
      </c>
      <c r="G62" s="14">
        <v>72.329993389999998</v>
      </c>
      <c r="H62" s="16">
        <v>2.6079355400000002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(2350/B66*100)</f>
        <v>84.806928906531937</v>
      </c>
      <c r="D66" s="15">
        <v>421</v>
      </c>
      <c r="E66" s="14">
        <v>61.169175490000001</v>
      </c>
      <c r="F66" s="16">
        <v>2.5368778999999999</v>
      </c>
      <c r="G66" s="14">
        <v>38.830824509999999</v>
      </c>
      <c r="H66" s="16">
        <v>2.5368778999999999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(3046/B67*100)</f>
        <v>88.034682080924853</v>
      </c>
      <c r="D67" s="15">
        <v>414</v>
      </c>
      <c r="E67" s="14">
        <v>69.266709489999997</v>
      </c>
      <c r="F67" s="16">
        <v>2.2680056400000002</v>
      </c>
      <c r="G67" s="14">
        <v>30.73329051</v>
      </c>
      <c r="H67" s="16">
        <v>2.2680056400000002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(2633/B70*100)</f>
        <v>84.744126166720307</v>
      </c>
      <c r="D70" s="15">
        <v>474</v>
      </c>
      <c r="E70" s="14">
        <v>59.744935939999998</v>
      </c>
      <c r="F70" s="16">
        <v>2.442593</v>
      </c>
      <c r="G70" s="14">
        <v>40.255064060000002</v>
      </c>
      <c r="H70" s="16">
        <v>2.442593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31.992497520000001</v>
      </c>
      <c r="F72" s="16">
        <v>1.77170754</v>
      </c>
      <c r="G72" s="14">
        <v>68.007502479999999</v>
      </c>
      <c r="H72" s="16">
        <v>1.77170754</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(4007/B73*100)</f>
        <v>86.134995700773871</v>
      </c>
      <c r="D73" s="15">
        <v>645</v>
      </c>
      <c r="E73" s="14">
        <v>60.475866089999997</v>
      </c>
      <c r="F73" s="16">
        <v>2.0492766699999998</v>
      </c>
      <c r="G73" s="14">
        <v>39.524133910000003</v>
      </c>
      <c r="H73" s="16">
        <v>2.0492766699999998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(2538/B75*100)</f>
        <v>85.483327719770969</v>
      </c>
      <c r="D75" s="15">
        <v>431</v>
      </c>
      <c r="E75" s="14">
        <v>69.672706629999993</v>
      </c>
      <c r="F75" s="16">
        <v>2.7212589299999999</v>
      </c>
      <c r="G75" s="14">
        <v>30.32729337</v>
      </c>
      <c r="H75" s="16">
        <v>2.7212589299999999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(5931/B76*100)</f>
        <v>83.359100491918483</v>
      </c>
      <c r="D76" s="15">
        <v>1184</v>
      </c>
      <c r="E76" s="14">
        <v>66.011859670000007</v>
      </c>
      <c r="F76" s="16">
        <v>1.59844801</v>
      </c>
      <c r="G76" s="14">
        <v>33.98814033</v>
      </c>
      <c r="H76" s="16">
        <v>1.59844801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(2692/B77*100)</f>
        <v>85.351934051997475</v>
      </c>
      <c r="D77" s="15">
        <v>462</v>
      </c>
      <c r="E77" s="14">
        <v>64.007041869999995</v>
      </c>
      <c r="F77" s="16">
        <v>2.0575884599999998</v>
      </c>
      <c r="G77" s="14">
        <v>35.992958129999998</v>
      </c>
      <c r="H77" s="16">
        <v>2.0575884599999998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(3923/B81*100)</f>
        <v>83.503618561089823</v>
      </c>
      <c r="D81" s="15">
        <v>775</v>
      </c>
      <c r="E81" s="14">
        <v>45.403143880000002</v>
      </c>
      <c r="F81" s="16">
        <v>2.20897962</v>
      </c>
      <c r="G81" s="14">
        <v>54.596856119999998</v>
      </c>
      <c r="H81" s="16">
        <v>2.20897962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(6066/B7*100)</f>
        <v>84.685187770487218</v>
      </c>
      <c r="D7" s="15">
        <v>1097</v>
      </c>
      <c r="E7" s="14">
        <v>48.079549540000002</v>
      </c>
      <c r="F7" s="16">
        <v>2.1335275899999999</v>
      </c>
      <c r="G7" s="14">
        <v>51.920450459999998</v>
      </c>
      <c r="H7" s="16">
        <v>2.1335275899999999</v>
      </c>
      <c r="I7" s="14" t="s">
        <v>139</v>
      </c>
      <c r="J7" s="16" t="s">
        <v>139</v>
      </c>
      <c r="K7" s="14">
        <v>0</v>
      </c>
      <c r="L7" s="16">
        <v>0</v>
      </c>
      <c r="M7" s="14">
        <v>0</v>
      </c>
      <c r="N7" s="16">
        <v>0</v>
      </c>
      <c r="O7" s="14">
        <v>0</v>
      </c>
      <c r="P7" s="16">
        <v>0</v>
      </c>
      <c r="Q7" s="14">
        <v>0</v>
      </c>
      <c r="R7" s="16">
        <v>0</v>
      </c>
    </row>
    <row r="8" spans="1:18" x14ac:dyDescent="0.25">
      <c r="A8" s="11" t="s">
        <v>140</v>
      </c>
      <c r="B8" s="13">
        <v>3443</v>
      </c>
      <c r="C8" s="14">
        <f>(2902/B8*100)</f>
        <v>84.286959047342435</v>
      </c>
      <c r="D8" s="15">
        <v>541</v>
      </c>
      <c r="E8" s="14">
        <v>53.12728611</v>
      </c>
      <c r="F8" s="16">
        <v>2.37485305</v>
      </c>
      <c r="G8" s="14">
        <v>46.87271389</v>
      </c>
      <c r="H8" s="16">
        <v>2.37485305</v>
      </c>
      <c r="I8" s="14" t="s">
        <v>139</v>
      </c>
      <c r="J8" s="16" t="s">
        <v>139</v>
      </c>
      <c r="K8" s="14">
        <v>0</v>
      </c>
      <c r="L8" s="16">
        <v>0</v>
      </c>
      <c r="M8" s="14">
        <v>0</v>
      </c>
      <c r="N8" s="16">
        <v>0</v>
      </c>
      <c r="O8" s="14">
        <v>0</v>
      </c>
      <c r="P8" s="16">
        <v>0</v>
      </c>
      <c r="Q8" s="14">
        <v>0</v>
      </c>
      <c r="R8" s="16">
        <v>0</v>
      </c>
    </row>
    <row r="9" spans="1:18" x14ac:dyDescent="0.25">
      <c r="A9" s="11" t="s">
        <v>141</v>
      </c>
      <c r="B9" s="13">
        <v>4752</v>
      </c>
      <c r="C9" s="14">
        <f>(4006/B9*100)</f>
        <v>84.301346801346796</v>
      </c>
      <c r="D9" s="15">
        <v>746</v>
      </c>
      <c r="E9" s="14">
        <v>53.967439509999998</v>
      </c>
      <c r="F9" s="16">
        <v>1.9048256800000001</v>
      </c>
      <c r="G9" s="14">
        <v>46.032560490000002</v>
      </c>
      <c r="H9" s="16">
        <v>1.9048256800000001</v>
      </c>
      <c r="I9" s="14" t="s">
        <v>139</v>
      </c>
      <c r="J9" s="16" t="s">
        <v>139</v>
      </c>
      <c r="K9" s="14">
        <v>0</v>
      </c>
      <c r="L9" s="16">
        <v>0</v>
      </c>
      <c r="M9" s="14">
        <v>0</v>
      </c>
      <c r="N9" s="16">
        <v>0</v>
      </c>
      <c r="O9" s="14">
        <v>0</v>
      </c>
      <c r="P9" s="16">
        <v>0</v>
      </c>
      <c r="Q9" s="14">
        <v>0</v>
      </c>
      <c r="R9" s="16">
        <v>0</v>
      </c>
    </row>
    <row r="10" spans="1:18" x14ac:dyDescent="0.25">
      <c r="A10" s="11" t="s">
        <v>142</v>
      </c>
      <c r="B10" s="13">
        <v>10022</v>
      </c>
      <c r="C10" s="14">
        <f>(8333/B10*100)</f>
        <v>83.147076431849925</v>
      </c>
      <c r="D10" s="15">
        <v>1689</v>
      </c>
      <c r="E10" s="14">
        <v>50.807325220000003</v>
      </c>
      <c r="F10" s="16">
        <v>1.6184453000000001</v>
      </c>
      <c r="G10" s="14">
        <v>49.192674779999997</v>
      </c>
      <c r="H10" s="16">
        <v>1.6184453000000001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(2974/B11*100)</f>
        <v>84.971428571428575</v>
      </c>
      <c r="D11" s="15">
        <v>526</v>
      </c>
      <c r="E11" s="14">
        <v>69.539421320000002</v>
      </c>
      <c r="F11" s="16">
        <v>2.7160101000000001</v>
      </c>
      <c r="G11" s="14">
        <v>30.460578680000001</v>
      </c>
      <c r="H11" s="16">
        <v>2.7160101000000001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(2900/B12*100)</f>
        <v>84.745762711864401</v>
      </c>
      <c r="D12" s="15">
        <v>522</v>
      </c>
      <c r="E12" s="14">
        <v>52.075497319999997</v>
      </c>
      <c r="F12" s="16">
        <v>2.7881514699999999</v>
      </c>
      <c r="G12" s="14">
        <v>47.924502680000003</v>
      </c>
      <c r="H12" s="16">
        <v>2.7881514699999999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(3057/B13*100)</f>
        <v>84.869516935036089</v>
      </c>
      <c r="D13" s="15">
        <v>545</v>
      </c>
      <c r="E13" s="14">
        <v>49.732717719999997</v>
      </c>
      <c r="F13" s="16">
        <v>3.2729334899999998</v>
      </c>
      <c r="G13" s="14">
        <v>50.267282280000003</v>
      </c>
      <c r="H13" s="16">
        <v>3.2729334899999998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(2341/B14*100)</f>
        <v>83.967001434720231</v>
      </c>
      <c r="D14" s="15">
        <v>447</v>
      </c>
      <c r="E14" s="14">
        <v>61.324640209999998</v>
      </c>
      <c r="F14" s="16">
        <v>2.4161926600000001</v>
      </c>
      <c r="G14" s="14">
        <v>38.675359790000002</v>
      </c>
      <c r="H14" s="16">
        <v>2.4161926600000001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(2414/B15*100)</f>
        <v>84.317149842822218</v>
      </c>
      <c r="D15" s="15">
        <v>449</v>
      </c>
      <c r="E15" s="14">
        <v>63.489042140000002</v>
      </c>
      <c r="F15" s="16">
        <v>1.9901955899999999</v>
      </c>
      <c r="G15" s="14">
        <v>36.510957859999998</v>
      </c>
      <c r="H15" s="16">
        <v>1.9901955899999999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(2608/B16*100)</f>
        <v>83.83156541305047</v>
      </c>
      <c r="D16" s="15">
        <v>503</v>
      </c>
      <c r="E16" s="14">
        <v>54.991419690000001</v>
      </c>
      <c r="F16" s="16">
        <v>2.3903183499999998</v>
      </c>
      <c r="G16" s="14">
        <v>45.008580309999999</v>
      </c>
      <c r="H16" s="16">
        <v>2.3903183499999998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(2696/B17*100)</f>
        <v>84.329058492336557</v>
      </c>
      <c r="D17" s="15">
        <v>501</v>
      </c>
      <c r="E17" s="14">
        <v>52.300908919999998</v>
      </c>
      <c r="F17" s="16">
        <v>2.18443436</v>
      </c>
      <c r="G17" s="14">
        <v>47.699091080000002</v>
      </c>
      <c r="H17" s="16">
        <v>2.18443436</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(2253/B18*100)</f>
        <v>83.259423503325948</v>
      </c>
      <c r="D18" s="15">
        <v>453</v>
      </c>
      <c r="E18" s="14">
        <v>71.639777499999994</v>
      </c>
      <c r="F18" s="16">
        <v>2.3671713200000002</v>
      </c>
      <c r="G18" s="14">
        <v>28.360222499999999</v>
      </c>
      <c r="H18" s="16">
        <v>2.3671713200000002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(2415/B19*100)</f>
        <v>84.73684210526315</v>
      </c>
      <c r="D19" s="15">
        <v>435</v>
      </c>
      <c r="E19" s="14">
        <v>62.146311730000001</v>
      </c>
      <c r="F19" s="16">
        <v>2.61400502</v>
      </c>
      <c r="G19" s="14">
        <v>37.853688269999999</v>
      </c>
      <c r="H19" s="16">
        <v>2.61400502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(1471/B20*100)</f>
        <v>84.49167145318782</v>
      </c>
      <c r="D20" s="15">
        <v>270</v>
      </c>
      <c r="E20" s="14">
        <v>54.250759090000003</v>
      </c>
      <c r="F20" s="16">
        <v>3.3030141</v>
      </c>
      <c r="G20" s="14">
        <v>45.749240909999997</v>
      </c>
      <c r="H20" s="16">
        <v>3.3030141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(3156/B22*100)</f>
        <v>86.064903190619034</v>
      </c>
      <c r="D22" s="15">
        <v>511</v>
      </c>
      <c r="E22" s="14">
        <v>71.622088349999999</v>
      </c>
      <c r="F22" s="16">
        <v>2.1245208</v>
      </c>
      <c r="G22" s="14">
        <v>28.377911650000001</v>
      </c>
      <c r="H22" s="16">
        <v>2.1245208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(4862/B23*100)</f>
        <v>83.943370165745861</v>
      </c>
      <c r="D23" s="15">
        <v>930</v>
      </c>
      <c r="E23" s="14">
        <v>53.639189559999998</v>
      </c>
      <c r="F23" s="16">
        <v>2.3686868400000001</v>
      </c>
      <c r="G23" s="14">
        <v>46.360810440000002</v>
      </c>
      <c r="H23" s="16">
        <v>2.3686868400000001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(2766/B24*100)</f>
        <v>83.590208522212151</v>
      </c>
      <c r="D24" s="15">
        <v>543</v>
      </c>
      <c r="E24" s="14">
        <v>52.471985869999997</v>
      </c>
      <c r="F24" s="16">
        <v>2.0938339300000002</v>
      </c>
      <c r="G24" s="14">
        <v>47.528014130000003</v>
      </c>
      <c r="H24" s="16">
        <v>2.0938339300000002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(2211/B25*100)</f>
        <v>82.840014986886473</v>
      </c>
      <c r="D25" s="15">
        <v>458</v>
      </c>
      <c r="E25" s="14">
        <v>53.363892679999999</v>
      </c>
      <c r="F25" s="16">
        <v>2.46011793</v>
      </c>
      <c r="G25" s="14">
        <v>46.636107320000001</v>
      </c>
      <c r="H25" s="16">
        <v>2.46011793</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(2015/B26*100)</f>
        <v>83.298883836295985</v>
      </c>
      <c r="D26" s="15">
        <v>404</v>
      </c>
      <c r="E26" s="14">
        <v>55.246563080000001</v>
      </c>
      <c r="F26" s="16">
        <v>2.67742821</v>
      </c>
      <c r="G26" s="14">
        <v>44.753436919999999</v>
      </c>
      <c r="H26" s="16">
        <v>2.67742821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(2280/B27*100)</f>
        <v>84.97950055907566</v>
      </c>
      <c r="D27" s="15">
        <v>403</v>
      </c>
      <c r="E27" s="14">
        <v>53.949221690000002</v>
      </c>
      <c r="F27" s="16">
        <v>2.6790575699999999</v>
      </c>
      <c r="G27" s="14">
        <v>46.050778309999998</v>
      </c>
      <c r="H27" s="16">
        <v>2.6790575699999999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(3327/B28*100)</f>
        <v>87.483565606100441</v>
      </c>
      <c r="D28" s="15">
        <v>476</v>
      </c>
      <c r="E28" s="14">
        <v>72.908599229999993</v>
      </c>
      <c r="F28" s="16">
        <v>2.3789461699999999</v>
      </c>
      <c r="G28" s="14">
        <v>27.09140077</v>
      </c>
      <c r="H28" s="16">
        <v>2.3789461699999999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64.032870079999995</v>
      </c>
      <c r="F29" s="16">
        <v>2.0632584899999999</v>
      </c>
      <c r="G29" s="14">
        <v>35.967129919999998</v>
      </c>
      <c r="H29" s="16">
        <v>2.0632584899999999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(1910/B30*100)</f>
        <v>84.625609215773139</v>
      </c>
      <c r="D30" s="15">
        <v>347</v>
      </c>
      <c r="E30" s="14">
        <v>56.486505620000003</v>
      </c>
      <c r="F30" s="16">
        <v>2.5986169499999998</v>
      </c>
      <c r="G30" s="14">
        <v>43.513494379999997</v>
      </c>
      <c r="H30" s="16">
        <v>2.5986169499999998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(2273/B31*100)</f>
        <v>83.998521803399854</v>
      </c>
      <c r="D31" s="15">
        <v>433</v>
      </c>
      <c r="E31" s="14">
        <v>48.767253770000003</v>
      </c>
      <c r="F31" s="16">
        <v>2.6280733500000002</v>
      </c>
      <c r="G31" s="14">
        <v>51.232746229999997</v>
      </c>
      <c r="H31" s="16">
        <v>2.6280733500000002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(3113/B33*100)</f>
        <v>85.264311147630792</v>
      </c>
      <c r="D33" s="15">
        <v>538</v>
      </c>
      <c r="E33" s="14">
        <v>56.377921190000002</v>
      </c>
      <c r="F33" s="16">
        <v>2.53954777</v>
      </c>
      <c r="G33" s="14">
        <v>43.622078809999998</v>
      </c>
      <c r="H33" s="16">
        <v>2.53954777</v>
      </c>
      <c r="I33" s="14" t="s">
        <v>139</v>
      </c>
      <c r="J33" s="16" t="s">
        <v>139</v>
      </c>
      <c r="K33" s="14">
        <v>0</v>
      </c>
      <c r="L33" s="16">
        <v>0</v>
      </c>
      <c r="M33" s="14">
        <v>0</v>
      </c>
      <c r="N33" s="16">
        <v>0</v>
      </c>
      <c r="O33" s="14">
        <v>0</v>
      </c>
      <c r="P33" s="16">
        <v>0</v>
      </c>
      <c r="Q33" s="14">
        <v>0</v>
      </c>
      <c r="R33" s="16">
        <v>0</v>
      </c>
    </row>
    <row r="34" spans="1:18" x14ac:dyDescent="0.25">
      <c r="A34" s="11" t="s">
        <v>167</v>
      </c>
      <c r="B34" s="13">
        <v>3035</v>
      </c>
      <c r="C34" s="14">
        <f>(2601/B34*100)</f>
        <v>85.700164744645804</v>
      </c>
      <c r="D34" s="15">
        <v>434</v>
      </c>
      <c r="E34" s="14">
        <v>61.337263909999997</v>
      </c>
      <c r="F34" s="16">
        <v>2.2604425099999998</v>
      </c>
      <c r="G34" s="14">
        <v>38.662736090000003</v>
      </c>
      <c r="H34" s="16">
        <v>2.2604425099999998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(2410/B35*100)</f>
        <v>83.07480179248536</v>
      </c>
      <c r="D35" s="15">
        <v>491</v>
      </c>
      <c r="E35" s="14">
        <v>62.523005519999998</v>
      </c>
      <c r="F35" s="16">
        <v>2.85220685</v>
      </c>
      <c r="G35" s="14">
        <v>37.476994480000002</v>
      </c>
      <c r="H35" s="16">
        <v>2.85220685</v>
      </c>
      <c r="I35" s="14" t="s">
        <v>139</v>
      </c>
      <c r="J35" s="16" t="s">
        <v>139</v>
      </c>
      <c r="K35" s="14">
        <v>0</v>
      </c>
      <c r="L35" s="16">
        <v>0</v>
      </c>
      <c r="M35" s="14">
        <v>0</v>
      </c>
      <c r="N35" s="16">
        <v>0</v>
      </c>
      <c r="O35" s="14">
        <v>0</v>
      </c>
      <c r="P35" s="16">
        <v>0</v>
      </c>
      <c r="Q35" s="14">
        <v>0</v>
      </c>
      <c r="R35" s="16">
        <v>0</v>
      </c>
    </row>
    <row r="36" spans="1:18" x14ac:dyDescent="0.25">
      <c r="A36" s="11" t="s">
        <v>169</v>
      </c>
      <c r="B36" s="13">
        <v>3404</v>
      </c>
      <c r="C36" s="14">
        <f>(2894/B36*100)</f>
        <v>85.017626321974149</v>
      </c>
      <c r="D36" s="15">
        <v>510</v>
      </c>
      <c r="E36" s="14">
        <v>58.504660979999997</v>
      </c>
      <c r="F36" s="16">
        <v>2.3091345400000001</v>
      </c>
      <c r="G36" s="14">
        <v>41.495339020000003</v>
      </c>
      <c r="H36" s="16">
        <v>2.3091345400000001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(2339/B37*100)</f>
        <v>85.646283412669362</v>
      </c>
      <c r="D37" s="15">
        <v>392</v>
      </c>
      <c r="E37" s="14">
        <v>60.406627350000001</v>
      </c>
      <c r="F37" s="16">
        <v>2.7307063600000001</v>
      </c>
      <c r="G37" s="14">
        <v>39.593372649999999</v>
      </c>
      <c r="H37" s="16">
        <v>2.7307063600000001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(2416/B39*100)</f>
        <v>82.232811436351255</v>
      </c>
      <c r="D39" s="15">
        <v>522</v>
      </c>
      <c r="E39" s="14">
        <v>64.344317270000005</v>
      </c>
      <c r="F39" s="16">
        <v>2.3481272799999999</v>
      </c>
      <c r="G39" s="14">
        <v>35.655682730000002</v>
      </c>
      <c r="H39" s="16">
        <v>2.3481272799999999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(5707/B40*100)</f>
        <v>82.447269575267271</v>
      </c>
      <c r="D40" s="15">
        <v>1215</v>
      </c>
      <c r="E40" s="14">
        <v>56.352893969999997</v>
      </c>
      <c r="F40" s="16">
        <v>2.1369499200000002</v>
      </c>
      <c r="G40" s="14">
        <v>43.647106030000003</v>
      </c>
      <c r="H40" s="16">
        <v>2.1369499200000002</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(2408/B41*100)</f>
        <v>84.37281009110022</v>
      </c>
      <c r="D41" s="15">
        <v>446</v>
      </c>
      <c r="E41" s="14">
        <v>52.402190079999997</v>
      </c>
      <c r="F41" s="16">
        <v>2.5990254400000001</v>
      </c>
      <c r="G41" s="14">
        <v>47.597809920000003</v>
      </c>
      <c r="H41" s="16">
        <v>2.5990254400000001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84.303307253358753</v>
      </c>
      <c r="D42" s="15">
        <f>IF(COUNT(D7:D41) &gt; 0, AVERAGE(D7:D41), "—")</f>
        <v>569.71875</v>
      </c>
      <c r="E42" s="14">
        <f>IF(COUNT(E7:E41) &gt; 0, AVERAGE(E7:E41), "—")</f>
        <v>57.881535819375003</v>
      </c>
      <c r="F42" s="16">
        <f>IF(COUNT(F7:F41) &gt; 0, SQRT(SUMSQ(F7:F41)/(COUNT(F7:F41)*COUNT(F7:F41)) ), "—")</f>
        <v>0.43496300806956739</v>
      </c>
      <c r="G42" s="14">
        <f>IF(COUNT(G7:G41) &gt; 0, AVERAGE(G7:G41), "—")</f>
        <v>42.118464180625004</v>
      </c>
      <c r="H42" s="16">
        <f>IF(COUNT(H7:H41) &gt; 0, SQRT(SUMSQ(H7:H41)/(COUNT(H7:H41)*COUNT(H7:H41)) ), "—")</f>
        <v>0.43496300806956739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(10851/B46*100)</f>
        <v>89.878240702393768</v>
      </c>
      <c r="D46" s="15">
        <v>1222</v>
      </c>
      <c r="E46" s="14">
        <v>74.871718810000004</v>
      </c>
      <c r="F46" s="16">
        <v>1.4428106000000001</v>
      </c>
      <c r="G46" s="14">
        <v>25.128281189999999</v>
      </c>
      <c r="H46" s="16">
        <v>1.4428106000000001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(2411/B47*100)</f>
        <v>85.405596882748853</v>
      </c>
      <c r="D47" s="15">
        <v>412</v>
      </c>
      <c r="E47" s="14">
        <v>69.032611130000006</v>
      </c>
      <c r="F47" s="16">
        <v>2.3875604199999998</v>
      </c>
      <c r="G47" s="14">
        <v>30.967388870000001</v>
      </c>
      <c r="H47" s="16">
        <v>2.3875604199999998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(3877/B48*100)</f>
        <v>82.806492951730021</v>
      </c>
      <c r="D48" s="15">
        <v>805</v>
      </c>
      <c r="E48" s="14">
        <v>55.488186419999998</v>
      </c>
      <c r="F48" s="16">
        <v>2.5050545199999998</v>
      </c>
      <c r="G48" s="14">
        <v>44.511813580000002</v>
      </c>
      <c r="H48" s="16">
        <v>2.5050545199999998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(5260/B50*100)</f>
        <v>85.417343293277042</v>
      </c>
      <c r="D50" s="15">
        <v>898</v>
      </c>
      <c r="E50" s="14">
        <v>63.484376779999998</v>
      </c>
      <c r="F50" s="16">
        <v>2.1200800499999999</v>
      </c>
      <c r="G50" s="14">
        <v>36.515623220000002</v>
      </c>
      <c r="H50" s="16">
        <v>2.1200800499999999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(3053/B51*100)</f>
        <v>87.378362907842018</v>
      </c>
      <c r="D51" s="15">
        <v>441</v>
      </c>
      <c r="E51" s="14">
        <v>72.666428859999996</v>
      </c>
      <c r="F51" s="16">
        <v>2.1595181399999999</v>
      </c>
      <c r="G51" s="14">
        <v>27.33357114</v>
      </c>
      <c r="H51" s="16">
        <v>2.1595181399999999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(2522/B52*100)</f>
        <v>83.703949551941577</v>
      </c>
      <c r="D52" s="15">
        <v>491</v>
      </c>
      <c r="E52" s="14">
        <v>72.920967649999994</v>
      </c>
      <c r="F52" s="16">
        <v>2.11732561</v>
      </c>
      <c r="G52" s="14">
        <v>27.079032349999999</v>
      </c>
      <c r="H52" s="16">
        <v>2.11732561</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(2311/B53*100)</f>
        <v>83.731884057971016</v>
      </c>
      <c r="D53" s="15">
        <v>449</v>
      </c>
      <c r="E53" s="14">
        <v>66.542522750000003</v>
      </c>
      <c r="F53" s="16">
        <v>2.6743390100000002</v>
      </c>
      <c r="G53" s="14">
        <v>33.457477249999997</v>
      </c>
      <c r="H53" s="16">
        <v>2.6743390100000002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(2211/B56*100)</f>
        <v>82.654205607476641</v>
      </c>
      <c r="D56" s="15">
        <v>464</v>
      </c>
      <c r="E56" s="14">
        <v>49.649465120000002</v>
      </c>
      <c r="F56" s="16">
        <v>2.0771755600000001</v>
      </c>
      <c r="G56" s="14">
        <v>50.350534879999998</v>
      </c>
      <c r="H56" s="16">
        <v>2.0771755600000001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(2683/B61*100)</f>
        <v>83.817557013433301</v>
      </c>
      <c r="D61" s="15">
        <v>518</v>
      </c>
      <c r="E61" s="14">
        <v>69.723464829999998</v>
      </c>
      <c r="F61" s="16">
        <v>2.06511369</v>
      </c>
      <c r="G61" s="14">
        <v>30.276535169999999</v>
      </c>
      <c r="H61" s="16">
        <v>2.06511369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(1862/B62*100)</f>
        <v>83.49775784753362</v>
      </c>
      <c r="D62" s="15">
        <v>368</v>
      </c>
      <c r="E62" s="14">
        <v>54.664343340000002</v>
      </c>
      <c r="F62" s="16">
        <v>2.7569612499999998</v>
      </c>
      <c r="G62" s="14">
        <v>45.335656659999998</v>
      </c>
      <c r="H62" s="16">
        <v>2.7569612499999998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(2350/B66*100)</f>
        <v>84.806928906531937</v>
      </c>
      <c r="D66" s="15">
        <v>421</v>
      </c>
      <c r="E66" s="14">
        <v>72.793388919999998</v>
      </c>
      <c r="F66" s="16">
        <v>2.4047714899999999</v>
      </c>
      <c r="G66" s="14">
        <v>27.206611079999998</v>
      </c>
      <c r="H66" s="16">
        <v>2.4047714899999999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(3046/B67*100)</f>
        <v>88.034682080924853</v>
      </c>
      <c r="D67" s="15">
        <v>414</v>
      </c>
      <c r="E67" s="14">
        <v>69.489427109999994</v>
      </c>
      <c r="F67" s="16">
        <v>2.30451264</v>
      </c>
      <c r="G67" s="14">
        <v>30.510572889999999</v>
      </c>
      <c r="H67" s="16">
        <v>2.30451264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(2633/B70*100)</f>
        <v>84.744126166720307</v>
      </c>
      <c r="D70" s="15">
        <v>474</v>
      </c>
      <c r="E70" s="14">
        <v>56.33686367</v>
      </c>
      <c r="F70" s="16">
        <v>3.18141403</v>
      </c>
      <c r="G70" s="14">
        <v>43.66313633</v>
      </c>
      <c r="H70" s="16">
        <v>3.18141403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38.919622439999998</v>
      </c>
      <c r="F72" s="16">
        <v>1.8777625600000001</v>
      </c>
      <c r="G72" s="14">
        <v>61.080377560000002</v>
      </c>
      <c r="H72" s="16">
        <v>1.8777625600000001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(4007/B73*100)</f>
        <v>86.134995700773871</v>
      </c>
      <c r="D73" s="15">
        <v>645</v>
      </c>
      <c r="E73" s="14">
        <v>71.958387959999996</v>
      </c>
      <c r="F73" s="16">
        <v>2.2046435999999998</v>
      </c>
      <c r="G73" s="14">
        <v>28.04161204</v>
      </c>
      <c r="H73" s="16">
        <v>2.2046435999999998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(2538/B75*100)</f>
        <v>85.483327719770969</v>
      </c>
      <c r="D75" s="15">
        <v>431</v>
      </c>
      <c r="E75" s="14">
        <v>79.855251280000004</v>
      </c>
      <c r="F75" s="16">
        <v>1.8983686</v>
      </c>
      <c r="G75" s="14">
        <v>20.144748719999999</v>
      </c>
      <c r="H75" s="16">
        <v>1.8983686</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(5931/B76*100)</f>
        <v>83.359100491918483</v>
      </c>
      <c r="D76" s="15">
        <v>1184</v>
      </c>
      <c r="E76" s="14">
        <v>64.711709479999996</v>
      </c>
      <c r="F76" s="16">
        <v>1.9169600600000001</v>
      </c>
      <c r="G76" s="14">
        <v>35.288290519999997</v>
      </c>
      <c r="H76" s="16">
        <v>1.9169600600000001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(2692/B77*100)</f>
        <v>85.351934051997475</v>
      </c>
      <c r="D77" s="15">
        <v>462</v>
      </c>
      <c r="E77" s="14">
        <v>68.129789680000002</v>
      </c>
      <c r="F77" s="16">
        <v>1.91453064</v>
      </c>
      <c r="G77" s="14">
        <v>31.870210320000002</v>
      </c>
      <c r="H77" s="16">
        <v>1.91453064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(3923/B81*100)</f>
        <v>83.503618561089823</v>
      </c>
      <c r="D81" s="15">
        <v>775</v>
      </c>
      <c r="E81" s="14">
        <v>64.584529910000001</v>
      </c>
      <c r="F81" s="16">
        <v>1.90605337</v>
      </c>
      <c r="G81" s="14">
        <v>35.415470089999999</v>
      </c>
      <c r="H81" s="16">
        <v>1.90605337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(6066/B7*100)</f>
        <v>84.685187770487218</v>
      </c>
      <c r="D7" s="15">
        <v>1097</v>
      </c>
      <c r="E7" s="14">
        <v>54.041675140000002</v>
      </c>
      <c r="F7" s="16">
        <v>1.91692208</v>
      </c>
      <c r="G7" s="14">
        <v>45.958324859999998</v>
      </c>
      <c r="H7" s="16">
        <v>1.91692208</v>
      </c>
      <c r="I7" s="14" t="s">
        <v>139</v>
      </c>
      <c r="J7" s="16" t="s">
        <v>139</v>
      </c>
      <c r="K7" s="14">
        <v>0</v>
      </c>
      <c r="L7" s="16">
        <v>0</v>
      </c>
      <c r="M7" s="14">
        <v>0</v>
      </c>
      <c r="N7" s="16">
        <v>0</v>
      </c>
      <c r="O7" s="14">
        <v>0</v>
      </c>
      <c r="P7" s="16">
        <v>0</v>
      </c>
      <c r="Q7" s="14">
        <v>0</v>
      </c>
      <c r="R7" s="16">
        <v>0</v>
      </c>
    </row>
    <row r="8" spans="1:18" x14ac:dyDescent="0.25">
      <c r="A8" s="11" t="s">
        <v>140</v>
      </c>
      <c r="B8" s="13">
        <v>3443</v>
      </c>
      <c r="C8" s="14">
        <f>(2902/B8*100)</f>
        <v>84.286959047342435</v>
      </c>
      <c r="D8" s="15">
        <v>541</v>
      </c>
      <c r="E8" s="14">
        <v>55.882152400000003</v>
      </c>
      <c r="F8" s="16">
        <v>2.8125611400000001</v>
      </c>
      <c r="G8" s="14">
        <v>44.117847599999997</v>
      </c>
      <c r="H8" s="16">
        <v>2.8125611400000001</v>
      </c>
      <c r="I8" s="14" t="s">
        <v>139</v>
      </c>
      <c r="J8" s="16" t="s">
        <v>139</v>
      </c>
      <c r="K8" s="14">
        <v>0</v>
      </c>
      <c r="L8" s="16">
        <v>0</v>
      </c>
      <c r="M8" s="14">
        <v>0</v>
      </c>
      <c r="N8" s="16">
        <v>0</v>
      </c>
      <c r="O8" s="14">
        <v>0</v>
      </c>
      <c r="P8" s="16">
        <v>0</v>
      </c>
      <c r="Q8" s="14">
        <v>0</v>
      </c>
      <c r="R8" s="16">
        <v>0</v>
      </c>
    </row>
    <row r="9" spans="1:18" x14ac:dyDescent="0.25">
      <c r="A9" s="11" t="s">
        <v>141</v>
      </c>
      <c r="B9" s="13">
        <v>4752</v>
      </c>
      <c r="C9" s="14">
        <f>(4006/B9*100)</f>
        <v>84.301346801346796</v>
      </c>
      <c r="D9" s="15">
        <v>746</v>
      </c>
      <c r="E9" s="14">
        <v>60.426436809999998</v>
      </c>
      <c r="F9" s="16">
        <v>1.8926110700000001</v>
      </c>
      <c r="G9" s="14">
        <v>39.573563190000002</v>
      </c>
      <c r="H9" s="16">
        <v>1.8926110700000001</v>
      </c>
      <c r="I9" s="14" t="s">
        <v>139</v>
      </c>
      <c r="J9" s="16" t="s">
        <v>139</v>
      </c>
      <c r="K9" s="14">
        <v>0</v>
      </c>
      <c r="L9" s="16">
        <v>0</v>
      </c>
      <c r="M9" s="14">
        <v>0</v>
      </c>
      <c r="N9" s="16">
        <v>0</v>
      </c>
      <c r="O9" s="14">
        <v>0</v>
      </c>
      <c r="P9" s="16">
        <v>0</v>
      </c>
      <c r="Q9" s="14">
        <v>0</v>
      </c>
      <c r="R9" s="16">
        <v>0</v>
      </c>
    </row>
    <row r="10" spans="1:18" x14ac:dyDescent="0.25">
      <c r="A10" s="11" t="s">
        <v>142</v>
      </c>
      <c r="B10" s="13">
        <v>10022</v>
      </c>
      <c r="C10" s="14">
        <f>(8333/B10*100)</f>
        <v>83.147076431849925</v>
      </c>
      <c r="D10" s="15">
        <v>1689</v>
      </c>
      <c r="E10" s="14">
        <v>54.45213811</v>
      </c>
      <c r="F10" s="16">
        <v>1.5943068600000001</v>
      </c>
      <c r="G10" s="14">
        <v>45.54786189</v>
      </c>
      <c r="H10" s="16">
        <v>1.5943068600000001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(2974/B11*100)</f>
        <v>84.971428571428575</v>
      </c>
      <c r="D11" s="15">
        <v>526</v>
      </c>
      <c r="E11" s="14">
        <v>67.458347840000002</v>
      </c>
      <c r="F11" s="16">
        <v>2.4145397599999998</v>
      </c>
      <c r="G11" s="14">
        <v>32.541652159999998</v>
      </c>
      <c r="H11" s="16">
        <v>2.4145397599999998</v>
      </c>
      <c r="I11" s="14" t="s">
        <v>139</v>
      </c>
      <c r="J11" s="16" t="s">
        <v>139</v>
      </c>
      <c r="K11" s="14">
        <v>0</v>
      </c>
      <c r="L11" s="16">
        <v>0</v>
      </c>
      <c r="M11" s="14">
        <v>0</v>
      </c>
      <c r="N11" s="16">
        <v>0</v>
      </c>
      <c r="O11" s="14">
        <v>0</v>
      </c>
      <c r="P11" s="16">
        <v>0</v>
      </c>
      <c r="Q11" s="14">
        <v>0</v>
      </c>
      <c r="R11" s="16">
        <v>0</v>
      </c>
    </row>
    <row r="12" spans="1:18" x14ac:dyDescent="0.25">
      <c r="A12" s="11" t="s">
        <v>144</v>
      </c>
      <c r="B12" s="13">
        <v>3422</v>
      </c>
      <c r="C12" s="14">
        <f>(2900/B12*100)</f>
        <v>84.745762711864401</v>
      </c>
      <c r="D12" s="15">
        <v>522</v>
      </c>
      <c r="E12" s="14">
        <v>54.512884219999997</v>
      </c>
      <c r="F12" s="16">
        <v>2.8015465399999999</v>
      </c>
      <c r="G12" s="14">
        <v>45.487115780000003</v>
      </c>
      <c r="H12" s="16">
        <v>2.8015465399999999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(3057/B13*100)</f>
        <v>84.869516935036089</v>
      </c>
      <c r="D13" s="15">
        <v>545</v>
      </c>
      <c r="E13" s="14">
        <v>51.428391990000001</v>
      </c>
      <c r="F13" s="16">
        <v>2.8778337199999999</v>
      </c>
      <c r="G13" s="14">
        <v>48.571608009999999</v>
      </c>
      <c r="H13" s="16">
        <v>2.8778337199999999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(2341/B14*100)</f>
        <v>83.967001434720231</v>
      </c>
      <c r="D14" s="15">
        <v>447</v>
      </c>
      <c r="E14" s="14">
        <v>52.427161079999998</v>
      </c>
      <c r="F14" s="16">
        <v>2.15821336</v>
      </c>
      <c r="G14" s="14">
        <v>47.572838920000002</v>
      </c>
      <c r="H14" s="16">
        <v>2.15821336</v>
      </c>
      <c r="I14" s="14" t="s">
        <v>139</v>
      </c>
      <c r="J14" s="16" t="s">
        <v>139</v>
      </c>
      <c r="K14" s="14">
        <v>0</v>
      </c>
      <c r="L14" s="16">
        <v>0</v>
      </c>
      <c r="M14" s="14">
        <v>0</v>
      </c>
      <c r="N14" s="16">
        <v>0</v>
      </c>
      <c r="O14" s="14">
        <v>0</v>
      </c>
      <c r="P14" s="16">
        <v>0</v>
      </c>
      <c r="Q14" s="14">
        <v>0</v>
      </c>
      <c r="R14" s="16">
        <v>0</v>
      </c>
    </row>
    <row r="15" spans="1:18" x14ac:dyDescent="0.25">
      <c r="A15" s="11" t="s">
        <v>147</v>
      </c>
      <c r="B15" s="13">
        <v>2863</v>
      </c>
      <c r="C15" s="14">
        <f>(2414/B15*100)</f>
        <v>84.317149842822218</v>
      </c>
      <c r="D15" s="15">
        <v>449</v>
      </c>
      <c r="E15" s="14">
        <v>46.084460900000003</v>
      </c>
      <c r="F15" s="16">
        <v>2.6448929400000001</v>
      </c>
      <c r="G15" s="14">
        <v>53.915539099999997</v>
      </c>
      <c r="H15" s="16">
        <v>2.6448929400000001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(2608/B16*100)</f>
        <v>83.83156541305047</v>
      </c>
      <c r="D16" s="15">
        <v>503</v>
      </c>
      <c r="E16" s="14">
        <v>61.85859713</v>
      </c>
      <c r="F16" s="16">
        <v>2.3141071900000001</v>
      </c>
      <c r="G16" s="14">
        <v>38.14140287</v>
      </c>
      <c r="H16" s="16">
        <v>2.3141071900000001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(2696/B17*100)</f>
        <v>84.329058492336557</v>
      </c>
      <c r="D17" s="15">
        <v>501</v>
      </c>
      <c r="E17" s="14">
        <v>50.534281729999996</v>
      </c>
      <c r="F17" s="16">
        <v>1.9780112700000001</v>
      </c>
      <c r="G17" s="14">
        <v>49.465718270000004</v>
      </c>
      <c r="H17" s="16">
        <v>1.9780112700000001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(2253/B18*100)</f>
        <v>83.259423503325948</v>
      </c>
      <c r="D18" s="15">
        <v>453</v>
      </c>
      <c r="E18" s="14">
        <v>58.14424021</v>
      </c>
      <c r="F18" s="16">
        <v>2.2483685499999999</v>
      </c>
      <c r="G18" s="14">
        <v>41.85575979</v>
      </c>
      <c r="H18" s="16">
        <v>2.2483685499999999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(2415/B19*100)</f>
        <v>84.73684210526315</v>
      </c>
      <c r="D19" s="15">
        <v>435</v>
      </c>
      <c r="E19" s="14">
        <v>64.60491202</v>
      </c>
      <c r="F19" s="16">
        <v>2.2750332900000001</v>
      </c>
      <c r="G19" s="14">
        <v>35.39508798</v>
      </c>
      <c r="H19" s="16">
        <v>2.2750332900000001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(1471/B20*100)</f>
        <v>84.49167145318782</v>
      </c>
      <c r="D20" s="15">
        <v>270</v>
      </c>
      <c r="E20" s="14">
        <v>54.929768690000003</v>
      </c>
      <c r="F20" s="16">
        <v>3.30555025</v>
      </c>
      <c r="G20" s="14">
        <v>45.070231309999997</v>
      </c>
      <c r="H20" s="16">
        <v>3.30555025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(3156/B22*100)</f>
        <v>86.064903190619034</v>
      </c>
      <c r="D22" s="15">
        <v>511</v>
      </c>
      <c r="E22" s="14">
        <v>67.173875760000001</v>
      </c>
      <c r="F22" s="16">
        <v>1.9731342000000001</v>
      </c>
      <c r="G22" s="14">
        <v>32.826124239999999</v>
      </c>
      <c r="H22" s="16">
        <v>1.9731342000000001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(4862/B23*100)</f>
        <v>83.943370165745861</v>
      </c>
      <c r="D23" s="15">
        <v>930</v>
      </c>
      <c r="E23" s="14">
        <v>60.99037569</v>
      </c>
      <c r="F23" s="16">
        <v>2.4818062599999999</v>
      </c>
      <c r="G23" s="14">
        <v>39.00962431</v>
      </c>
      <c r="H23" s="16">
        <v>2.4818062599999999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(2766/B24*100)</f>
        <v>83.590208522212151</v>
      </c>
      <c r="D24" s="15">
        <v>543</v>
      </c>
      <c r="E24" s="14">
        <v>51.336562049999998</v>
      </c>
      <c r="F24" s="16">
        <v>2.3460853400000001</v>
      </c>
      <c r="G24" s="14">
        <v>48.663437950000002</v>
      </c>
      <c r="H24" s="16">
        <v>2.3460853400000001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(2211/B25*100)</f>
        <v>82.840014986886473</v>
      </c>
      <c r="D25" s="15">
        <v>458</v>
      </c>
      <c r="E25" s="14">
        <v>57.88599541</v>
      </c>
      <c r="F25" s="16">
        <v>2.2923681</v>
      </c>
      <c r="G25" s="14">
        <v>42.11400459</v>
      </c>
      <c r="H25" s="16">
        <v>2.2923681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(2015/B26*100)</f>
        <v>83.298883836295985</v>
      </c>
      <c r="D26" s="15">
        <v>404</v>
      </c>
      <c r="E26" s="14">
        <v>63.659914559999997</v>
      </c>
      <c r="F26" s="16">
        <v>2.9023886299999999</v>
      </c>
      <c r="G26" s="14">
        <v>36.340085440000003</v>
      </c>
      <c r="H26" s="16">
        <v>2.9023886299999999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(2280/B27*100)</f>
        <v>84.97950055907566</v>
      </c>
      <c r="D27" s="15">
        <v>403</v>
      </c>
      <c r="E27" s="14">
        <v>60.058699420000003</v>
      </c>
      <c r="F27" s="16">
        <v>2.3327252299999999</v>
      </c>
      <c r="G27" s="14">
        <v>39.941300579999997</v>
      </c>
      <c r="H27" s="16">
        <v>2.3327252299999999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(3327/B28*100)</f>
        <v>87.483565606100441</v>
      </c>
      <c r="D28" s="15">
        <v>476</v>
      </c>
      <c r="E28" s="14">
        <v>67.059093160000003</v>
      </c>
      <c r="F28" s="16">
        <v>2.4571785899999998</v>
      </c>
      <c r="G28" s="14">
        <v>32.940906839999997</v>
      </c>
      <c r="H28" s="16">
        <v>2.4571785899999998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58.930918200000001</v>
      </c>
      <c r="F29" s="16">
        <v>2.2296365499999999</v>
      </c>
      <c r="G29" s="14">
        <v>41.069081799999999</v>
      </c>
      <c r="H29" s="16">
        <v>2.2296365499999999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(1910/B30*100)</f>
        <v>84.625609215773139</v>
      </c>
      <c r="D30" s="15">
        <v>347</v>
      </c>
      <c r="E30" s="14">
        <v>56.059064220000003</v>
      </c>
      <c r="F30" s="16">
        <v>2.4713878</v>
      </c>
      <c r="G30" s="14">
        <v>43.940935779999997</v>
      </c>
      <c r="H30" s="16">
        <v>2.4713878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(2273/B31*100)</f>
        <v>83.998521803399854</v>
      </c>
      <c r="D31" s="15">
        <v>433</v>
      </c>
      <c r="E31" s="14">
        <v>53.43126402</v>
      </c>
      <c r="F31" s="16">
        <v>2.3747052000000002</v>
      </c>
      <c r="G31" s="14">
        <v>46.56873598</v>
      </c>
      <c r="H31" s="16">
        <v>2.3747052000000002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(3113/B33*100)</f>
        <v>85.264311147630792</v>
      </c>
      <c r="D33" s="15">
        <v>538</v>
      </c>
      <c r="E33" s="14">
        <v>54.805739799999998</v>
      </c>
      <c r="F33" s="16">
        <v>2.8555666899999999</v>
      </c>
      <c r="G33" s="14">
        <v>45.194260200000002</v>
      </c>
      <c r="H33" s="16">
        <v>2.8555666899999999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(2601/B34*100)</f>
        <v>85.700164744645804</v>
      </c>
      <c r="D34" s="15">
        <v>434</v>
      </c>
      <c r="E34" s="14">
        <v>60.92433544</v>
      </c>
      <c r="F34" s="16">
        <v>2.5547057299999998</v>
      </c>
      <c r="G34" s="14">
        <v>39.07566456</v>
      </c>
      <c r="H34" s="16">
        <v>2.5547057299999998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(2410/B35*100)</f>
        <v>83.07480179248536</v>
      </c>
      <c r="D35" s="15">
        <v>491</v>
      </c>
      <c r="E35" s="14">
        <v>55.205747770000002</v>
      </c>
      <c r="F35" s="16">
        <v>2.84422453</v>
      </c>
      <c r="G35" s="14">
        <v>44.794252229999998</v>
      </c>
      <c r="H35" s="16">
        <v>2.84422453</v>
      </c>
      <c r="I35" s="14" t="s">
        <v>139</v>
      </c>
      <c r="J35" s="16" t="s">
        <v>139</v>
      </c>
      <c r="K35" s="14">
        <v>0</v>
      </c>
      <c r="L35" s="16">
        <v>0</v>
      </c>
      <c r="M35" s="14">
        <v>0</v>
      </c>
      <c r="N35" s="16">
        <v>0</v>
      </c>
      <c r="O35" s="14">
        <v>0</v>
      </c>
      <c r="P35" s="16">
        <v>0</v>
      </c>
      <c r="Q35" s="14">
        <v>0</v>
      </c>
      <c r="R35" s="16">
        <v>0</v>
      </c>
    </row>
    <row r="36" spans="1:18" x14ac:dyDescent="0.25">
      <c r="A36" s="11" t="s">
        <v>169</v>
      </c>
      <c r="B36" s="13">
        <v>3404</v>
      </c>
      <c r="C36" s="14">
        <f>(2894/B36*100)</f>
        <v>85.017626321974149</v>
      </c>
      <c r="D36" s="15">
        <v>510</v>
      </c>
      <c r="E36" s="14">
        <v>53.003095500000001</v>
      </c>
      <c r="F36" s="16">
        <v>2.3377331799999999</v>
      </c>
      <c r="G36" s="14">
        <v>46.996904499999999</v>
      </c>
      <c r="H36" s="16">
        <v>2.3377331799999999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(2339/B37*100)</f>
        <v>85.646283412669362</v>
      </c>
      <c r="D37" s="15">
        <v>392</v>
      </c>
      <c r="E37" s="14">
        <v>57.060870870000002</v>
      </c>
      <c r="F37" s="16">
        <v>2.51971707</v>
      </c>
      <c r="G37" s="14">
        <v>42.939129129999998</v>
      </c>
      <c r="H37" s="16">
        <v>2.51971707</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(2416/B39*100)</f>
        <v>82.232811436351255</v>
      </c>
      <c r="D39" s="15">
        <v>522</v>
      </c>
      <c r="E39" s="14">
        <v>68.074511419999993</v>
      </c>
      <c r="F39" s="16">
        <v>2.1985215</v>
      </c>
      <c r="G39" s="14">
        <v>31.92548858</v>
      </c>
      <c r="H39" s="16">
        <v>2.1985215</v>
      </c>
      <c r="I39" s="14" t="s">
        <v>139</v>
      </c>
      <c r="J39" s="16" t="s">
        <v>139</v>
      </c>
      <c r="K39" s="14">
        <v>0</v>
      </c>
      <c r="L39" s="16">
        <v>0</v>
      </c>
      <c r="M39" s="14">
        <v>0</v>
      </c>
      <c r="N39" s="16">
        <v>0</v>
      </c>
      <c r="O39" s="14">
        <v>0</v>
      </c>
      <c r="P39" s="16">
        <v>0</v>
      </c>
      <c r="Q39" s="14">
        <v>0</v>
      </c>
      <c r="R39" s="16">
        <v>0</v>
      </c>
    </row>
    <row r="40" spans="1:18" x14ac:dyDescent="0.25">
      <c r="A40" s="11" t="s">
        <v>173</v>
      </c>
      <c r="B40" s="13">
        <v>6922</v>
      </c>
      <c r="C40" s="14">
        <f>(5707/B40*100)</f>
        <v>82.447269575267271</v>
      </c>
      <c r="D40" s="15">
        <v>1215</v>
      </c>
      <c r="E40" s="14">
        <v>57.083623080000002</v>
      </c>
      <c r="F40" s="16">
        <v>2.2226372300000001</v>
      </c>
      <c r="G40" s="14">
        <v>42.916376919999998</v>
      </c>
      <c r="H40" s="16">
        <v>2.2226372300000001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(2408/B41*100)</f>
        <v>84.37281009110022</v>
      </c>
      <c r="D41" s="15">
        <v>446</v>
      </c>
      <c r="E41" s="14">
        <v>57.3518051</v>
      </c>
      <c r="F41" s="16">
        <v>2.2175180700000001</v>
      </c>
      <c r="G41" s="14">
        <v>42.6481949</v>
      </c>
      <c r="H41" s="16">
        <v>2.2175180700000001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84.303307253358753</v>
      </c>
      <c r="D42" s="15">
        <f>IF(COUNT(D7:D41) &gt; 0, AVERAGE(D7:D41), "—")</f>
        <v>569.71875</v>
      </c>
      <c r="E42" s="14">
        <f>IF(COUNT(E7:E41) &gt; 0, AVERAGE(E7:E41), "—")</f>
        <v>57.715029366875001</v>
      </c>
      <c r="F42" s="16">
        <f>IF(COUNT(F7:F41) &gt; 0, SQRT(SUMSQ(F7:F41)/(COUNT(F7:F41)*COUNT(F7:F41)) ), "—")</f>
        <v>0.42899836483665138</v>
      </c>
      <c r="G42" s="14">
        <f>IF(COUNT(G7:G41) &gt; 0, AVERAGE(G7:G41), "—")</f>
        <v>42.284970633125006</v>
      </c>
      <c r="H42" s="16">
        <f>IF(COUNT(H7:H41) &gt; 0, SQRT(SUMSQ(H7:H41)/(COUNT(H7:H41)*COUNT(H7:H41)) ), "—")</f>
        <v>0.42899836483665138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(10851/B46*100)</f>
        <v>89.878240702393768</v>
      </c>
      <c r="D46" s="15">
        <v>1222</v>
      </c>
      <c r="E46" s="14">
        <v>61.572325120000002</v>
      </c>
      <c r="F46" s="16">
        <v>1.7503272000000001</v>
      </c>
      <c r="G46" s="14">
        <v>38.427674879999998</v>
      </c>
      <c r="H46" s="16">
        <v>1.7503272000000001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(2411/B47*100)</f>
        <v>85.405596882748853</v>
      </c>
      <c r="D47" s="15">
        <v>412</v>
      </c>
      <c r="E47" s="14">
        <v>71.597833429999994</v>
      </c>
      <c r="F47" s="16">
        <v>2.3496510100000001</v>
      </c>
      <c r="G47" s="14">
        <v>28.402166569999999</v>
      </c>
      <c r="H47" s="16">
        <v>2.3496510100000001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(3877/B48*100)</f>
        <v>82.806492951730021</v>
      </c>
      <c r="D48" s="15">
        <v>805</v>
      </c>
      <c r="E48" s="14">
        <v>71.671407029999997</v>
      </c>
      <c r="F48" s="16">
        <v>1.96367135</v>
      </c>
      <c r="G48" s="14">
        <v>28.328592969999999</v>
      </c>
      <c r="H48" s="16">
        <v>1.96367135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(5260/B50*100)</f>
        <v>85.417343293277042</v>
      </c>
      <c r="D50" s="15">
        <v>898</v>
      </c>
      <c r="E50" s="14">
        <v>71.072143150000002</v>
      </c>
      <c r="F50" s="16">
        <v>2.06707215</v>
      </c>
      <c r="G50" s="14">
        <v>28.927856850000001</v>
      </c>
      <c r="H50" s="16">
        <v>2.06707215</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(3053/B51*100)</f>
        <v>87.378362907842018</v>
      </c>
      <c r="D51" s="15">
        <v>441</v>
      </c>
      <c r="E51" s="14">
        <v>74.298177749999994</v>
      </c>
      <c r="F51" s="16">
        <v>2.26135916</v>
      </c>
      <c r="G51" s="14">
        <v>25.701822249999999</v>
      </c>
      <c r="H51" s="16">
        <v>2.26135916</v>
      </c>
      <c r="I51" s="14" t="s">
        <v>139</v>
      </c>
      <c r="J51" s="16" t="s">
        <v>139</v>
      </c>
      <c r="K51" s="14">
        <v>0</v>
      </c>
      <c r="L51" s="16">
        <v>0</v>
      </c>
      <c r="M51" s="14">
        <v>0</v>
      </c>
      <c r="N51" s="16">
        <v>0</v>
      </c>
      <c r="O51" s="14">
        <v>0</v>
      </c>
      <c r="P51" s="16">
        <v>0</v>
      </c>
      <c r="Q51" s="14">
        <v>0</v>
      </c>
      <c r="R51" s="16">
        <v>0</v>
      </c>
    </row>
    <row r="52" spans="1:18" x14ac:dyDescent="0.25">
      <c r="A52" s="11" t="s">
        <v>185</v>
      </c>
      <c r="B52" s="13">
        <v>3013</v>
      </c>
      <c r="C52" s="14">
        <f>(2522/B52*100)</f>
        <v>83.703949551941577</v>
      </c>
      <c r="D52" s="15">
        <v>491</v>
      </c>
      <c r="E52" s="14">
        <v>56.370078229999997</v>
      </c>
      <c r="F52" s="16">
        <v>2.21731247</v>
      </c>
      <c r="G52" s="14">
        <v>43.629921770000003</v>
      </c>
      <c r="H52" s="16">
        <v>2.21731247</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(2311/B53*100)</f>
        <v>83.731884057971016</v>
      </c>
      <c r="D53" s="15">
        <v>449</v>
      </c>
      <c r="E53" s="14">
        <v>57.296781899999999</v>
      </c>
      <c r="F53" s="16">
        <v>2.5099490699999998</v>
      </c>
      <c r="G53" s="14">
        <v>42.703218100000001</v>
      </c>
      <c r="H53" s="16">
        <v>2.5099490699999998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(2211/B56*100)</f>
        <v>82.654205607476641</v>
      </c>
      <c r="D56" s="15">
        <v>464</v>
      </c>
      <c r="E56" s="14">
        <v>56.402128220000002</v>
      </c>
      <c r="F56" s="16">
        <v>2.5891204299999999</v>
      </c>
      <c r="G56" s="14">
        <v>43.597871779999998</v>
      </c>
      <c r="H56" s="16">
        <v>2.5891204299999999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(2683/B61*100)</f>
        <v>83.817557013433301</v>
      </c>
      <c r="D61" s="15">
        <v>518</v>
      </c>
      <c r="E61" s="14">
        <v>66.728042669999994</v>
      </c>
      <c r="F61" s="16">
        <v>1.9772133300000001</v>
      </c>
      <c r="G61" s="14">
        <v>33.271957329999999</v>
      </c>
      <c r="H61" s="16">
        <v>1.9772133300000001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(1862/B62*100)</f>
        <v>83.49775784753362</v>
      </c>
      <c r="D62" s="15">
        <v>368</v>
      </c>
      <c r="E62" s="14">
        <v>60.066688820000003</v>
      </c>
      <c r="F62" s="16">
        <v>2.67864112</v>
      </c>
      <c r="G62" s="14">
        <v>39.933311179999997</v>
      </c>
      <c r="H62" s="16">
        <v>2.67864112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(2350/B66*100)</f>
        <v>84.806928906531937</v>
      </c>
      <c r="D66" s="15">
        <v>421</v>
      </c>
      <c r="E66" s="14">
        <v>66.670392590000006</v>
      </c>
      <c r="F66" s="16">
        <v>2.1975221199999999</v>
      </c>
      <c r="G66" s="14">
        <v>33.329607410000001</v>
      </c>
      <c r="H66" s="16">
        <v>2.1975221199999999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(3046/B67*100)</f>
        <v>88.034682080924853</v>
      </c>
      <c r="D67" s="15">
        <v>414</v>
      </c>
      <c r="E67" s="14">
        <v>69.887664490000006</v>
      </c>
      <c r="F67" s="16">
        <v>2.3877317300000001</v>
      </c>
      <c r="G67" s="14">
        <v>30.112335510000001</v>
      </c>
      <c r="H67" s="16">
        <v>2.3877317300000001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(2633/B70*100)</f>
        <v>84.744126166720307</v>
      </c>
      <c r="D70" s="15">
        <v>474</v>
      </c>
      <c r="E70" s="14">
        <v>61.600832740000001</v>
      </c>
      <c r="F70" s="16">
        <v>2.9162139300000001</v>
      </c>
      <c r="G70" s="14">
        <v>38.399167259999999</v>
      </c>
      <c r="H70" s="16">
        <v>2.9162139300000001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60.578351099999999</v>
      </c>
      <c r="F72" s="16">
        <v>1.9607398599999999</v>
      </c>
      <c r="G72" s="14">
        <v>39.421648900000001</v>
      </c>
      <c r="H72" s="16">
        <v>1.9607398599999999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(4007/B73*100)</f>
        <v>86.134995700773871</v>
      </c>
      <c r="D73" s="15">
        <v>645</v>
      </c>
      <c r="E73" s="14">
        <v>61.829614890000002</v>
      </c>
      <c r="F73" s="16">
        <v>2.40267608</v>
      </c>
      <c r="G73" s="14">
        <v>38.170385109999998</v>
      </c>
      <c r="H73" s="16">
        <v>2.40267608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(2538/B75*100)</f>
        <v>85.483327719770969</v>
      </c>
      <c r="D75" s="15">
        <v>431</v>
      </c>
      <c r="E75" s="14">
        <v>70.238243929999996</v>
      </c>
      <c r="F75" s="16">
        <v>2.4852485299999998</v>
      </c>
      <c r="G75" s="14">
        <v>29.761756070000001</v>
      </c>
      <c r="H75" s="16">
        <v>2.4852485299999998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(5931/B76*100)</f>
        <v>83.359100491918483</v>
      </c>
      <c r="D76" s="15">
        <v>1184</v>
      </c>
      <c r="E76" s="14">
        <v>66.490862320000005</v>
      </c>
      <c r="F76" s="16">
        <v>1.7480347899999999</v>
      </c>
      <c r="G76" s="14">
        <v>33.509137680000002</v>
      </c>
      <c r="H76" s="16">
        <v>1.7480347899999999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(2692/B77*100)</f>
        <v>85.351934051997475</v>
      </c>
      <c r="D77" s="15">
        <v>462</v>
      </c>
      <c r="E77" s="14">
        <v>63.500580620000001</v>
      </c>
      <c r="F77" s="16">
        <v>2.1456249700000001</v>
      </c>
      <c r="G77" s="14">
        <v>36.499419379999999</v>
      </c>
      <c r="H77" s="16">
        <v>2.1456249700000001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(3923/B81*100)</f>
        <v>83.503618561089823</v>
      </c>
      <c r="D81" s="15">
        <v>775</v>
      </c>
      <c r="E81" s="14">
        <v>67.195849789999997</v>
      </c>
      <c r="F81" s="16">
        <v>2.1327479999999999</v>
      </c>
      <c r="G81" s="14">
        <v>32.804150210000003</v>
      </c>
      <c r="H81" s="16">
        <v>2.1327479999999999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(6066/B7*100)</f>
        <v>84.685187770487218</v>
      </c>
      <c r="D7" s="15">
        <v>1097</v>
      </c>
      <c r="E7" s="14">
        <v>27.255068470000001</v>
      </c>
      <c r="F7" s="16">
        <v>1.48431403</v>
      </c>
      <c r="G7" s="14">
        <v>72.744931530000002</v>
      </c>
      <c r="H7" s="16">
        <v>1.48431403</v>
      </c>
      <c r="I7" s="14" t="s">
        <v>139</v>
      </c>
      <c r="J7" s="16" t="s">
        <v>139</v>
      </c>
      <c r="K7" s="14">
        <v>0</v>
      </c>
      <c r="L7" s="16">
        <v>0</v>
      </c>
      <c r="M7" s="14">
        <v>0</v>
      </c>
      <c r="N7" s="16">
        <v>0</v>
      </c>
      <c r="O7" s="14">
        <v>0</v>
      </c>
      <c r="P7" s="16">
        <v>0</v>
      </c>
      <c r="Q7" s="14">
        <v>0</v>
      </c>
      <c r="R7" s="16">
        <v>0</v>
      </c>
    </row>
    <row r="8" spans="1:18" x14ac:dyDescent="0.25">
      <c r="A8" s="11" t="s">
        <v>140</v>
      </c>
      <c r="B8" s="13">
        <v>3443</v>
      </c>
      <c r="C8" s="14">
        <f>(2902/B8*100)</f>
        <v>84.286959047342435</v>
      </c>
      <c r="D8" s="15">
        <v>541</v>
      </c>
      <c r="E8" s="14">
        <v>27.47205168</v>
      </c>
      <c r="F8" s="16">
        <v>2.1706316800000001</v>
      </c>
      <c r="G8" s="14">
        <v>72.527948319999993</v>
      </c>
      <c r="H8" s="16">
        <v>2.1706316800000001</v>
      </c>
      <c r="I8" s="14" t="s">
        <v>139</v>
      </c>
      <c r="J8" s="16" t="s">
        <v>139</v>
      </c>
      <c r="K8" s="14">
        <v>0</v>
      </c>
      <c r="L8" s="16">
        <v>0</v>
      </c>
      <c r="M8" s="14">
        <v>0</v>
      </c>
      <c r="N8" s="16">
        <v>0</v>
      </c>
      <c r="O8" s="14">
        <v>0</v>
      </c>
      <c r="P8" s="16">
        <v>0</v>
      </c>
      <c r="Q8" s="14">
        <v>0</v>
      </c>
      <c r="R8" s="16">
        <v>0</v>
      </c>
    </row>
    <row r="9" spans="1:18" x14ac:dyDescent="0.25">
      <c r="A9" s="11" t="s">
        <v>141</v>
      </c>
      <c r="B9" s="13">
        <v>4752</v>
      </c>
      <c r="C9" s="14">
        <f>(4006/B9*100)</f>
        <v>84.301346801346796</v>
      </c>
      <c r="D9" s="15">
        <v>746</v>
      </c>
      <c r="E9" s="14">
        <v>32.810446489999997</v>
      </c>
      <c r="F9" s="16">
        <v>1.7119106500000001</v>
      </c>
      <c r="G9" s="14">
        <v>67.189553509999996</v>
      </c>
      <c r="H9" s="16">
        <v>1.7119106500000001</v>
      </c>
      <c r="I9" s="14" t="s">
        <v>139</v>
      </c>
      <c r="J9" s="16" t="s">
        <v>139</v>
      </c>
      <c r="K9" s="14">
        <v>0</v>
      </c>
      <c r="L9" s="16">
        <v>0</v>
      </c>
      <c r="M9" s="14">
        <v>0</v>
      </c>
      <c r="N9" s="16">
        <v>0</v>
      </c>
      <c r="O9" s="14">
        <v>0</v>
      </c>
      <c r="P9" s="16">
        <v>0</v>
      </c>
      <c r="Q9" s="14">
        <v>0</v>
      </c>
      <c r="R9" s="16">
        <v>0</v>
      </c>
    </row>
    <row r="10" spans="1:18" x14ac:dyDescent="0.25">
      <c r="A10" s="11" t="s">
        <v>142</v>
      </c>
      <c r="B10" s="13">
        <v>10022</v>
      </c>
      <c r="C10" s="14">
        <f>(8333/B10*100)</f>
        <v>83.147076431849925</v>
      </c>
      <c r="D10" s="15">
        <v>1689</v>
      </c>
      <c r="E10" s="14">
        <v>30.326989709999999</v>
      </c>
      <c r="F10" s="16">
        <v>1.6805018700000001</v>
      </c>
      <c r="G10" s="14">
        <v>69.673010289999993</v>
      </c>
      <c r="H10" s="16">
        <v>1.6805018700000001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(2974/B11*100)</f>
        <v>84.971428571428575</v>
      </c>
      <c r="D11" s="15">
        <v>526</v>
      </c>
      <c r="E11" s="14">
        <v>45.641183599999998</v>
      </c>
      <c r="F11" s="16">
        <v>2.6232136800000001</v>
      </c>
      <c r="G11" s="14">
        <v>54.358816400000002</v>
      </c>
      <c r="H11" s="16">
        <v>2.6232136800000001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(2900/B12*100)</f>
        <v>84.745762711864401</v>
      </c>
      <c r="D12" s="15">
        <v>522</v>
      </c>
      <c r="E12" s="14">
        <v>30.186622610000001</v>
      </c>
      <c r="F12" s="16">
        <v>2.13249113</v>
      </c>
      <c r="G12" s="14">
        <v>69.813377389999999</v>
      </c>
      <c r="H12" s="16">
        <v>2.13249113</v>
      </c>
      <c r="I12" s="14" t="s">
        <v>139</v>
      </c>
      <c r="J12" s="16" t="s">
        <v>139</v>
      </c>
      <c r="K12" s="14">
        <v>0</v>
      </c>
      <c r="L12" s="16">
        <v>0</v>
      </c>
      <c r="M12" s="14">
        <v>0</v>
      </c>
      <c r="N12" s="16">
        <v>0</v>
      </c>
      <c r="O12" s="14">
        <v>0</v>
      </c>
      <c r="P12" s="16">
        <v>0</v>
      </c>
      <c r="Q12" s="14">
        <v>0</v>
      </c>
      <c r="R12" s="16">
        <v>0</v>
      </c>
    </row>
    <row r="13" spans="1:18" x14ac:dyDescent="0.25">
      <c r="A13" s="11" t="s">
        <v>145</v>
      </c>
      <c r="B13" s="13">
        <v>3602</v>
      </c>
      <c r="C13" s="14">
        <f>(3057/B13*100)</f>
        <v>84.869516935036089</v>
      </c>
      <c r="D13" s="15">
        <v>545</v>
      </c>
      <c r="E13" s="14">
        <v>38.575565150000003</v>
      </c>
      <c r="F13" s="16">
        <v>2.2085233400000002</v>
      </c>
      <c r="G13" s="14">
        <v>61.424434849999997</v>
      </c>
      <c r="H13" s="16">
        <v>2.2085233400000002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(2341/B14*100)</f>
        <v>83.967001434720231</v>
      </c>
      <c r="D14" s="15">
        <v>447</v>
      </c>
      <c r="E14" s="14">
        <v>28.950171919999999</v>
      </c>
      <c r="F14" s="16">
        <v>2.5042311900000001</v>
      </c>
      <c r="G14" s="14">
        <v>71.049828079999997</v>
      </c>
      <c r="H14" s="16">
        <v>2.5042311900000001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(2414/B15*100)</f>
        <v>84.317149842822218</v>
      </c>
      <c r="D15" s="15">
        <v>449</v>
      </c>
      <c r="E15" s="14">
        <v>33.487996680000002</v>
      </c>
      <c r="F15" s="16">
        <v>2.4130896599999998</v>
      </c>
      <c r="G15" s="14">
        <v>66.512003320000005</v>
      </c>
      <c r="H15" s="16">
        <v>2.4130896599999998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(2608/B16*100)</f>
        <v>83.83156541305047</v>
      </c>
      <c r="D16" s="15">
        <v>503</v>
      </c>
      <c r="E16" s="14">
        <v>44.199002880000002</v>
      </c>
      <c r="F16" s="16">
        <v>2.2374171</v>
      </c>
      <c r="G16" s="14">
        <v>55.800997119999998</v>
      </c>
      <c r="H16" s="16">
        <v>2.2374171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(2696/B17*100)</f>
        <v>84.329058492336557</v>
      </c>
      <c r="D17" s="15">
        <v>501</v>
      </c>
      <c r="E17" s="14">
        <v>24.80774079</v>
      </c>
      <c r="F17" s="16">
        <v>2.1133611800000001</v>
      </c>
      <c r="G17" s="14">
        <v>75.192259210000003</v>
      </c>
      <c r="H17" s="16">
        <v>2.1133611800000001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(2253/B18*100)</f>
        <v>83.259423503325948</v>
      </c>
      <c r="D18" s="15">
        <v>453</v>
      </c>
      <c r="E18" s="14">
        <v>32.476835190000003</v>
      </c>
      <c r="F18" s="16">
        <v>2.6138864800000001</v>
      </c>
      <c r="G18" s="14">
        <v>67.523164809999997</v>
      </c>
      <c r="H18" s="16">
        <v>2.6138864800000001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(2415/B19*100)</f>
        <v>84.73684210526315</v>
      </c>
      <c r="D19" s="15">
        <v>435</v>
      </c>
      <c r="E19" s="14">
        <v>35.421653030000002</v>
      </c>
      <c r="F19" s="16">
        <v>2.7760615999999998</v>
      </c>
      <c r="G19" s="14">
        <v>64.578346969999998</v>
      </c>
      <c r="H19" s="16">
        <v>2.7760615999999998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(1471/B20*100)</f>
        <v>84.49167145318782</v>
      </c>
      <c r="D20" s="15">
        <v>270</v>
      </c>
      <c r="E20" s="14">
        <v>26.53437083</v>
      </c>
      <c r="F20" s="16">
        <v>3.06060534</v>
      </c>
      <c r="G20" s="14">
        <v>73.46562917</v>
      </c>
      <c r="H20" s="16">
        <v>3.06060534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(3156/B22*100)</f>
        <v>86.064903190619034</v>
      </c>
      <c r="D22" s="15">
        <v>511</v>
      </c>
      <c r="E22" s="14">
        <v>39.533855330000002</v>
      </c>
      <c r="F22" s="16">
        <v>2.4082214</v>
      </c>
      <c r="G22" s="14">
        <v>60.466144669999998</v>
      </c>
      <c r="H22" s="16">
        <v>2.4082214</v>
      </c>
      <c r="I22" s="14" t="s">
        <v>139</v>
      </c>
      <c r="J22" s="16" t="s">
        <v>139</v>
      </c>
      <c r="K22" s="14">
        <v>0</v>
      </c>
      <c r="L22" s="16">
        <v>0</v>
      </c>
      <c r="M22" s="14">
        <v>0</v>
      </c>
      <c r="N22" s="16">
        <v>0</v>
      </c>
      <c r="O22" s="14">
        <v>0</v>
      </c>
      <c r="P22" s="16">
        <v>0</v>
      </c>
      <c r="Q22" s="14">
        <v>0</v>
      </c>
      <c r="R22" s="16">
        <v>0</v>
      </c>
    </row>
    <row r="23" spans="1:18" x14ac:dyDescent="0.25">
      <c r="A23" s="11" t="s">
        <v>156</v>
      </c>
      <c r="B23" s="13">
        <v>5792</v>
      </c>
      <c r="C23" s="14">
        <f>(4862/B23*100)</f>
        <v>83.943370165745861</v>
      </c>
      <c r="D23" s="15">
        <v>930</v>
      </c>
      <c r="E23" s="14">
        <v>30.519941549999999</v>
      </c>
      <c r="F23" s="16">
        <v>2.2036877000000001</v>
      </c>
      <c r="G23" s="14">
        <v>69.480058450000001</v>
      </c>
      <c r="H23" s="16">
        <v>2.2036877000000001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(2766/B24*100)</f>
        <v>83.590208522212151</v>
      </c>
      <c r="D24" s="15">
        <v>543</v>
      </c>
      <c r="E24" s="14">
        <v>20.84278626</v>
      </c>
      <c r="F24" s="16">
        <v>1.74546969</v>
      </c>
      <c r="G24" s="14">
        <v>79.157213740000003</v>
      </c>
      <c r="H24" s="16">
        <v>1.74546969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(2211/B25*100)</f>
        <v>82.840014986886473</v>
      </c>
      <c r="D25" s="15">
        <v>458</v>
      </c>
      <c r="E25" s="14">
        <v>28.147577940000001</v>
      </c>
      <c r="F25" s="16">
        <v>2.3171161100000002</v>
      </c>
      <c r="G25" s="14">
        <v>71.852422059999995</v>
      </c>
      <c r="H25" s="16">
        <v>2.3171161100000002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(2015/B26*100)</f>
        <v>83.298883836295985</v>
      </c>
      <c r="D26" s="15">
        <v>404</v>
      </c>
      <c r="E26" s="14">
        <v>39.444770509999998</v>
      </c>
      <c r="F26" s="16">
        <v>2.6041834100000001</v>
      </c>
      <c r="G26" s="14">
        <v>60.555229490000002</v>
      </c>
      <c r="H26" s="16">
        <v>2.6041834100000001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(2280/B27*100)</f>
        <v>84.97950055907566</v>
      </c>
      <c r="D27" s="15">
        <v>403</v>
      </c>
      <c r="E27" s="14">
        <v>30.624662740000002</v>
      </c>
      <c r="F27" s="16">
        <v>2.3175528000000001</v>
      </c>
      <c r="G27" s="14">
        <v>69.375337259999995</v>
      </c>
      <c r="H27" s="16">
        <v>2.3175528000000001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(3327/B28*100)</f>
        <v>87.483565606100441</v>
      </c>
      <c r="D28" s="15">
        <v>476</v>
      </c>
      <c r="E28" s="14">
        <v>36.778500459999997</v>
      </c>
      <c r="F28" s="16">
        <v>2.5250566999999999</v>
      </c>
      <c r="G28" s="14">
        <v>63.221499540000003</v>
      </c>
      <c r="H28" s="16">
        <v>2.5250566999999999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32.051561599999999</v>
      </c>
      <c r="F29" s="16">
        <v>2.2627671199999999</v>
      </c>
      <c r="G29" s="14">
        <v>67.948438400000001</v>
      </c>
      <c r="H29" s="16">
        <v>2.2627671199999999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(1910/B30*100)</f>
        <v>84.625609215773139</v>
      </c>
      <c r="D30" s="15">
        <v>347</v>
      </c>
      <c r="E30" s="14">
        <v>30.683573939999999</v>
      </c>
      <c r="F30" s="16">
        <v>2.2356743899999998</v>
      </c>
      <c r="G30" s="14">
        <v>69.316426059999998</v>
      </c>
      <c r="H30" s="16">
        <v>2.2356743899999998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(2273/B31*100)</f>
        <v>83.998521803399854</v>
      </c>
      <c r="D31" s="15">
        <v>433</v>
      </c>
      <c r="E31" s="14">
        <v>29.66548349</v>
      </c>
      <c r="F31" s="16">
        <v>2.7395335599999999</v>
      </c>
      <c r="G31" s="14">
        <v>70.33451651</v>
      </c>
      <c r="H31" s="16">
        <v>2.7395335599999999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(3113/B33*100)</f>
        <v>85.264311147630792</v>
      </c>
      <c r="D33" s="15">
        <v>538</v>
      </c>
      <c r="E33" s="14">
        <v>29.70451959</v>
      </c>
      <c r="F33" s="16">
        <v>2.3766764999999999</v>
      </c>
      <c r="G33" s="14">
        <v>70.295480409999996</v>
      </c>
      <c r="H33" s="16">
        <v>2.3766764999999999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(2601/B34*100)</f>
        <v>85.700164744645804</v>
      </c>
      <c r="D34" s="15">
        <v>434</v>
      </c>
      <c r="E34" s="14">
        <v>46.838175239999998</v>
      </c>
      <c r="F34" s="16">
        <v>2.53155887</v>
      </c>
      <c r="G34" s="14">
        <v>53.161824760000002</v>
      </c>
      <c r="H34" s="16">
        <v>2.53155887</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(2410/B35*100)</f>
        <v>83.07480179248536</v>
      </c>
      <c r="D35" s="15">
        <v>491</v>
      </c>
      <c r="E35" s="14">
        <v>29.429397590000001</v>
      </c>
      <c r="F35" s="16">
        <v>2.62806629</v>
      </c>
      <c r="G35" s="14">
        <v>70.570602410000006</v>
      </c>
      <c r="H35" s="16">
        <v>2.62806629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(2894/B36*100)</f>
        <v>85.017626321974149</v>
      </c>
      <c r="D36" s="15">
        <v>510</v>
      </c>
      <c r="E36" s="14">
        <v>27.233018820000002</v>
      </c>
      <c r="F36" s="16">
        <v>2.1905553000000002</v>
      </c>
      <c r="G36" s="14">
        <v>72.766981180000002</v>
      </c>
      <c r="H36" s="16">
        <v>2.1905553000000002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(2339/B37*100)</f>
        <v>85.646283412669362</v>
      </c>
      <c r="D37" s="15">
        <v>392</v>
      </c>
      <c r="E37" s="14">
        <v>32.640506279999997</v>
      </c>
      <c r="F37" s="16">
        <v>2.67858588</v>
      </c>
      <c r="G37" s="14">
        <v>67.359493720000003</v>
      </c>
      <c r="H37" s="16">
        <v>2.67858588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(2416/B39*100)</f>
        <v>82.232811436351255</v>
      </c>
      <c r="D39" s="15">
        <v>522</v>
      </c>
      <c r="E39" s="14">
        <v>40.080657639999998</v>
      </c>
      <c r="F39" s="16">
        <v>2.3998147699999999</v>
      </c>
      <c r="G39" s="14">
        <v>59.919342360000002</v>
      </c>
      <c r="H39" s="16">
        <v>2.3998147699999999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(5707/B40*100)</f>
        <v>82.447269575267271</v>
      </c>
      <c r="D40" s="15">
        <v>1215</v>
      </c>
      <c r="E40" s="14">
        <v>30.755807260000001</v>
      </c>
      <c r="F40" s="16">
        <v>1.8511451800000001</v>
      </c>
      <c r="G40" s="14">
        <v>69.244192740000003</v>
      </c>
      <c r="H40" s="16">
        <v>1.8511451800000001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(2408/B41*100)</f>
        <v>84.37281009110022</v>
      </c>
      <c r="D41" s="15">
        <v>446</v>
      </c>
      <c r="E41" s="14">
        <v>25.3816989</v>
      </c>
      <c r="F41" s="16">
        <v>2.13986257</v>
      </c>
      <c r="G41" s="14">
        <v>74.618301099999996</v>
      </c>
      <c r="H41" s="16">
        <v>2.13986257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84.303307253358753</v>
      </c>
      <c r="D42" s="15">
        <f>IF(COUNT(D7:D41) &gt; 0, AVERAGE(D7:D41), "—")</f>
        <v>569.71875</v>
      </c>
      <c r="E42" s="14">
        <f>IF(COUNT(E7:E41) &gt; 0, AVERAGE(E7:E41), "—")</f>
        <v>32.453193567812505</v>
      </c>
      <c r="F42" s="16">
        <f>IF(COUNT(F7:F41) &gt; 0, SQRT(SUMSQ(F7:F41)/(COUNT(F7:F41)*COUNT(F7:F41)) ), "—")</f>
        <v>0.41265924281083621</v>
      </c>
      <c r="G42" s="14">
        <f>IF(COUNT(G7:G41) &gt; 0, AVERAGE(G7:G41), "—")</f>
        <v>67.546806432187481</v>
      </c>
      <c r="H42" s="16">
        <f>IF(COUNT(H7:H41) &gt; 0, SQRT(SUMSQ(H7:H41)/(COUNT(H7:H41)*COUNT(H7:H41)) ), "—")</f>
        <v>0.41265924281083621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(10851/B46*100)</f>
        <v>89.878240702393768</v>
      </c>
      <c r="D46" s="15">
        <v>1222</v>
      </c>
      <c r="E46" s="14">
        <v>41.714391110000001</v>
      </c>
      <c r="F46" s="16">
        <v>2.0732185900000002</v>
      </c>
      <c r="G46" s="14">
        <v>58.285608889999999</v>
      </c>
      <c r="H46" s="16">
        <v>2.0732185900000002</v>
      </c>
      <c r="I46" s="14" t="s">
        <v>139</v>
      </c>
      <c r="J46" s="16" t="s">
        <v>139</v>
      </c>
      <c r="K46" s="14">
        <v>0</v>
      </c>
      <c r="L46" s="16">
        <v>0</v>
      </c>
      <c r="M46" s="14">
        <v>0</v>
      </c>
      <c r="N46" s="16">
        <v>0</v>
      </c>
      <c r="O46" s="14">
        <v>0</v>
      </c>
      <c r="P46" s="16">
        <v>0</v>
      </c>
      <c r="Q46" s="14">
        <v>0</v>
      </c>
      <c r="R46" s="16">
        <v>0</v>
      </c>
    </row>
    <row r="47" spans="1:18" x14ac:dyDescent="0.25">
      <c r="A47" s="11" t="s">
        <v>180</v>
      </c>
      <c r="B47" s="13">
        <v>2823</v>
      </c>
      <c r="C47" s="14">
        <f>(2411/B47*100)</f>
        <v>85.405596882748853</v>
      </c>
      <c r="D47" s="15">
        <v>412</v>
      </c>
      <c r="E47" s="14">
        <v>38.29585265</v>
      </c>
      <c r="F47" s="16">
        <v>2.06392131</v>
      </c>
      <c r="G47" s="14">
        <v>61.70414735</v>
      </c>
      <c r="H47" s="16">
        <v>2.06392131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(3877/B48*100)</f>
        <v>82.806492951730021</v>
      </c>
      <c r="D48" s="15">
        <v>805</v>
      </c>
      <c r="E48" s="14">
        <v>48.175189330000002</v>
      </c>
      <c r="F48" s="16">
        <v>2.3311457400000002</v>
      </c>
      <c r="G48" s="14">
        <v>51.824810669999998</v>
      </c>
      <c r="H48" s="16">
        <v>2.3311457400000002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(5260/B50*100)</f>
        <v>85.417343293277042</v>
      </c>
      <c r="D50" s="15">
        <v>898</v>
      </c>
      <c r="E50" s="14">
        <v>41.976085240000003</v>
      </c>
      <c r="F50" s="16">
        <v>2.4068688800000002</v>
      </c>
      <c r="G50" s="14">
        <v>58.023914759999997</v>
      </c>
      <c r="H50" s="16">
        <v>2.4068688800000002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(3053/B51*100)</f>
        <v>87.378362907842018</v>
      </c>
      <c r="D51" s="15">
        <v>441</v>
      </c>
      <c r="E51" s="14">
        <v>43.936503620000003</v>
      </c>
      <c r="F51" s="16">
        <v>2.42548509</v>
      </c>
      <c r="G51" s="14">
        <v>56.063496379999997</v>
      </c>
      <c r="H51" s="16">
        <v>2.42548509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(2522/B52*100)</f>
        <v>83.703949551941577</v>
      </c>
      <c r="D52" s="15">
        <v>491</v>
      </c>
      <c r="E52" s="14">
        <v>35.84051856</v>
      </c>
      <c r="F52" s="16">
        <v>2.2312489900000001</v>
      </c>
      <c r="G52" s="14">
        <v>64.159481439999993</v>
      </c>
      <c r="H52" s="16">
        <v>2.2312489900000001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(2311/B53*100)</f>
        <v>83.731884057971016</v>
      </c>
      <c r="D53" s="15">
        <v>449</v>
      </c>
      <c r="E53" s="14">
        <v>38.393905449999998</v>
      </c>
      <c r="F53" s="16">
        <v>2.8233089800000002</v>
      </c>
      <c r="G53" s="14">
        <v>61.606094550000002</v>
      </c>
      <c r="H53" s="16">
        <v>2.8233089800000002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(2211/B56*100)</f>
        <v>82.654205607476641</v>
      </c>
      <c r="D56" s="15">
        <v>464</v>
      </c>
      <c r="E56" s="14">
        <v>27.938042119999999</v>
      </c>
      <c r="F56" s="16">
        <v>1.9740228900000001</v>
      </c>
      <c r="G56" s="14">
        <v>72.061957879999994</v>
      </c>
      <c r="H56" s="16">
        <v>1.9740228900000001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(2683/B61*100)</f>
        <v>83.817557013433301</v>
      </c>
      <c r="D61" s="15">
        <v>518</v>
      </c>
      <c r="E61" s="14">
        <v>42.243282989999997</v>
      </c>
      <c r="F61" s="16">
        <v>2.0352028899999999</v>
      </c>
      <c r="G61" s="14">
        <v>57.756717010000003</v>
      </c>
      <c r="H61" s="16">
        <v>2.0352028899999999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(1862/B62*100)</f>
        <v>83.49775784753362</v>
      </c>
      <c r="D62" s="15">
        <v>368</v>
      </c>
      <c r="E62" s="14">
        <v>32.925030630000002</v>
      </c>
      <c r="F62" s="16">
        <v>2.8938797699999999</v>
      </c>
      <c r="G62" s="14">
        <v>67.074969370000005</v>
      </c>
      <c r="H62" s="16">
        <v>2.8938797699999999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(2350/B66*100)</f>
        <v>84.806928906531937</v>
      </c>
      <c r="D66" s="15">
        <v>421</v>
      </c>
      <c r="E66" s="14">
        <v>45.243167659999997</v>
      </c>
      <c r="F66" s="16">
        <v>2.6116996800000001</v>
      </c>
      <c r="G66" s="14">
        <v>54.756832340000003</v>
      </c>
      <c r="H66" s="16">
        <v>2.6116996800000001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(3046/B67*100)</f>
        <v>88.034682080924853</v>
      </c>
      <c r="D67" s="15">
        <v>414</v>
      </c>
      <c r="E67" s="14">
        <v>45.677633030000003</v>
      </c>
      <c r="F67" s="16">
        <v>2.70049641</v>
      </c>
      <c r="G67" s="14">
        <v>54.322366969999997</v>
      </c>
      <c r="H67" s="16">
        <v>2.70049641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(2633/B70*100)</f>
        <v>84.744126166720307</v>
      </c>
      <c r="D70" s="15">
        <v>474</v>
      </c>
      <c r="E70" s="14">
        <v>47.396965799999997</v>
      </c>
      <c r="F70" s="16">
        <v>2.37588204</v>
      </c>
      <c r="G70" s="14">
        <v>52.603034200000003</v>
      </c>
      <c r="H70" s="16">
        <v>2.37588204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34.359401439999999</v>
      </c>
      <c r="F72" s="16">
        <v>1.9856522000000001</v>
      </c>
      <c r="G72" s="14">
        <v>65.640598560000001</v>
      </c>
      <c r="H72" s="16">
        <v>1.9856522000000001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(4007/B73*100)</f>
        <v>86.134995700773871</v>
      </c>
      <c r="D73" s="15">
        <v>645</v>
      </c>
      <c r="E73" s="14">
        <v>42.877963979999997</v>
      </c>
      <c r="F73" s="16">
        <v>2.6421647699999999</v>
      </c>
      <c r="G73" s="14">
        <v>57.122036020000003</v>
      </c>
      <c r="H73" s="16">
        <v>2.6421647699999999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(2538/B75*100)</f>
        <v>85.483327719770969</v>
      </c>
      <c r="D75" s="15">
        <v>431</v>
      </c>
      <c r="E75" s="14">
        <v>55.124239160000002</v>
      </c>
      <c r="F75" s="16">
        <v>2.39662335</v>
      </c>
      <c r="G75" s="14">
        <v>44.875760839999998</v>
      </c>
      <c r="H75" s="16">
        <v>2.39662335</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(5931/B76*100)</f>
        <v>83.359100491918483</v>
      </c>
      <c r="D76" s="15">
        <v>1184</v>
      </c>
      <c r="E76" s="14">
        <v>40.887811190000001</v>
      </c>
      <c r="F76" s="16">
        <v>1.8029677</v>
      </c>
      <c r="G76" s="14">
        <v>59.112188809999999</v>
      </c>
      <c r="H76" s="16">
        <v>1.8029677</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(2692/B77*100)</f>
        <v>85.351934051997475</v>
      </c>
      <c r="D77" s="15">
        <v>462</v>
      </c>
      <c r="E77" s="14">
        <v>40.811165010000003</v>
      </c>
      <c r="F77" s="16">
        <v>2.18140775</v>
      </c>
      <c r="G77" s="14">
        <v>59.188834989999997</v>
      </c>
      <c r="H77" s="16">
        <v>2.18140775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(3923/B81*100)</f>
        <v>83.503618561089823</v>
      </c>
      <c r="D81" s="15">
        <v>775</v>
      </c>
      <c r="E81" s="14">
        <v>37.937360570000003</v>
      </c>
      <c r="F81" s="16">
        <v>2.3205194699999998</v>
      </c>
      <c r="G81" s="14">
        <v>62.062639429999997</v>
      </c>
      <c r="H81" s="16">
        <v>2.3205194699999998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(6066/B7*100)</f>
        <v>84.685187770487218</v>
      </c>
      <c r="D7" s="15">
        <v>1097</v>
      </c>
      <c r="E7" s="14">
        <v>49.753776430000002</v>
      </c>
      <c r="F7" s="16">
        <v>1.67180985</v>
      </c>
      <c r="G7" s="14">
        <v>50.246223569999998</v>
      </c>
      <c r="H7" s="16">
        <v>1.67180985</v>
      </c>
      <c r="I7" s="14" t="s">
        <v>139</v>
      </c>
      <c r="J7" s="16" t="s">
        <v>139</v>
      </c>
      <c r="K7" s="14">
        <v>0</v>
      </c>
      <c r="L7" s="16">
        <v>0</v>
      </c>
      <c r="M7" s="14">
        <v>0</v>
      </c>
      <c r="N7" s="16">
        <v>0</v>
      </c>
      <c r="O7" s="14">
        <v>0</v>
      </c>
      <c r="P7" s="16">
        <v>0</v>
      </c>
      <c r="Q7" s="14">
        <v>0</v>
      </c>
      <c r="R7" s="16">
        <v>0</v>
      </c>
    </row>
    <row r="8" spans="1:18" x14ac:dyDescent="0.25">
      <c r="A8" s="11" t="s">
        <v>140</v>
      </c>
      <c r="B8" s="13">
        <v>3443</v>
      </c>
      <c r="C8" s="14">
        <f>(2902/B8*100)</f>
        <v>84.286959047342435</v>
      </c>
      <c r="D8" s="15">
        <v>541</v>
      </c>
      <c r="E8" s="14">
        <v>56.602451969999997</v>
      </c>
      <c r="F8" s="16">
        <v>1.9135324300000001</v>
      </c>
      <c r="G8" s="14">
        <v>43.397548030000003</v>
      </c>
      <c r="H8" s="16">
        <v>1.9135324300000001</v>
      </c>
      <c r="I8" s="14" t="s">
        <v>139</v>
      </c>
      <c r="J8" s="16" t="s">
        <v>139</v>
      </c>
      <c r="K8" s="14">
        <v>0</v>
      </c>
      <c r="L8" s="16">
        <v>0</v>
      </c>
      <c r="M8" s="14">
        <v>0</v>
      </c>
      <c r="N8" s="16">
        <v>0</v>
      </c>
      <c r="O8" s="14">
        <v>0</v>
      </c>
      <c r="P8" s="16">
        <v>0</v>
      </c>
      <c r="Q8" s="14">
        <v>0</v>
      </c>
      <c r="R8" s="16">
        <v>0</v>
      </c>
    </row>
    <row r="9" spans="1:18" x14ac:dyDescent="0.25">
      <c r="A9" s="11" t="s">
        <v>141</v>
      </c>
      <c r="B9" s="13">
        <v>4752</v>
      </c>
      <c r="C9" s="14">
        <f>(4006/B9*100)</f>
        <v>84.301346801346796</v>
      </c>
      <c r="D9" s="15">
        <v>746</v>
      </c>
      <c r="E9" s="14">
        <v>58.717186869999999</v>
      </c>
      <c r="F9" s="16">
        <v>1.89368326</v>
      </c>
      <c r="G9" s="14">
        <v>41.282813130000001</v>
      </c>
      <c r="H9" s="16">
        <v>1.89368326</v>
      </c>
      <c r="I9" s="14" t="s">
        <v>139</v>
      </c>
      <c r="J9" s="16" t="s">
        <v>139</v>
      </c>
      <c r="K9" s="14">
        <v>0</v>
      </c>
      <c r="L9" s="16">
        <v>0</v>
      </c>
      <c r="M9" s="14">
        <v>0</v>
      </c>
      <c r="N9" s="16">
        <v>0</v>
      </c>
      <c r="O9" s="14">
        <v>0</v>
      </c>
      <c r="P9" s="16">
        <v>0</v>
      </c>
      <c r="Q9" s="14">
        <v>0</v>
      </c>
      <c r="R9" s="16">
        <v>0</v>
      </c>
    </row>
    <row r="10" spans="1:18" x14ac:dyDescent="0.25">
      <c r="A10" s="11" t="s">
        <v>142</v>
      </c>
      <c r="B10" s="13">
        <v>10022</v>
      </c>
      <c r="C10" s="14">
        <f>(8333/B10*100)</f>
        <v>83.147076431849925</v>
      </c>
      <c r="D10" s="15">
        <v>1689</v>
      </c>
      <c r="E10" s="14">
        <v>53.165270319999998</v>
      </c>
      <c r="F10" s="16">
        <v>1.64821605</v>
      </c>
      <c r="G10" s="14">
        <v>46.834729680000002</v>
      </c>
      <c r="H10" s="16">
        <v>1.64821605</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(2974/B11*100)</f>
        <v>84.971428571428575</v>
      </c>
      <c r="D11" s="15">
        <v>526</v>
      </c>
      <c r="E11" s="14">
        <v>50.774606069999997</v>
      </c>
      <c r="F11" s="16">
        <v>2.4361117499999998</v>
      </c>
      <c r="G11" s="14">
        <v>49.225393930000003</v>
      </c>
      <c r="H11" s="16">
        <v>2.4361117499999998</v>
      </c>
      <c r="I11" s="14" t="s">
        <v>139</v>
      </c>
      <c r="J11" s="16" t="s">
        <v>139</v>
      </c>
      <c r="K11" s="14">
        <v>0</v>
      </c>
      <c r="L11" s="16">
        <v>0</v>
      </c>
      <c r="M11" s="14">
        <v>0</v>
      </c>
      <c r="N11" s="16">
        <v>0</v>
      </c>
      <c r="O11" s="14">
        <v>0</v>
      </c>
      <c r="P11" s="16">
        <v>0</v>
      </c>
      <c r="Q11" s="14">
        <v>0</v>
      </c>
      <c r="R11" s="16">
        <v>0</v>
      </c>
    </row>
    <row r="12" spans="1:18" x14ac:dyDescent="0.25">
      <c r="A12" s="11" t="s">
        <v>144</v>
      </c>
      <c r="B12" s="13">
        <v>3422</v>
      </c>
      <c r="C12" s="14">
        <f>(2900/B12*100)</f>
        <v>84.745762711864401</v>
      </c>
      <c r="D12" s="15">
        <v>522</v>
      </c>
      <c r="E12" s="14">
        <v>47.768101080000001</v>
      </c>
      <c r="F12" s="16">
        <v>2.2982327699999998</v>
      </c>
      <c r="G12" s="14">
        <v>52.231898919999999</v>
      </c>
      <c r="H12" s="16">
        <v>2.2982327699999998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(3057/B13*100)</f>
        <v>84.869516935036089</v>
      </c>
      <c r="D13" s="15">
        <v>545</v>
      </c>
      <c r="E13" s="14">
        <v>51.555707249999998</v>
      </c>
      <c r="F13" s="16">
        <v>2.27264818</v>
      </c>
      <c r="G13" s="14">
        <v>48.444292750000002</v>
      </c>
      <c r="H13" s="16">
        <v>2.27264818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(2341/B14*100)</f>
        <v>83.967001434720231</v>
      </c>
      <c r="D14" s="15">
        <v>447</v>
      </c>
      <c r="E14" s="14">
        <v>44.518126279999997</v>
      </c>
      <c r="F14" s="16">
        <v>2.6367672099999999</v>
      </c>
      <c r="G14" s="14">
        <v>55.481873720000003</v>
      </c>
      <c r="H14" s="16">
        <v>2.6367672099999999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(2414/B15*100)</f>
        <v>84.317149842822218</v>
      </c>
      <c r="D15" s="15">
        <v>449</v>
      </c>
      <c r="E15" s="14">
        <v>48.078823939999999</v>
      </c>
      <c r="F15" s="16">
        <v>2.2085156399999999</v>
      </c>
      <c r="G15" s="14">
        <v>51.921176060000001</v>
      </c>
      <c r="H15" s="16">
        <v>2.2085156399999999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(2608/B16*100)</f>
        <v>83.83156541305047</v>
      </c>
      <c r="D16" s="15">
        <v>503</v>
      </c>
      <c r="E16" s="14">
        <v>57.402814079999999</v>
      </c>
      <c r="F16" s="16">
        <v>2.5608258899999998</v>
      </c>
      <c r="G16" s="14">
        <v>42.597185920000001</v>
      </c>
      <c r="H16" s="16">
        <v>2.5608258899999998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(2696/B17*100)</f>
        <v>84.329058492336557</v>
      </c>
      <c r="D17" s="15">
        <v>501</v>
      </c>
      <c r="E17" s="14">
        <v>50.893955230000003</v>
      </c>
      <c r="F17" s="16">
        <v>2.3165036899999998</v>
      </c>
      <c r="G17" s="14">
        <v>49.106044769999997</v>
      </c>
      <c r="H17" s="16">
        <v>2.3165036899999998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(2253/B18*100)</f>
        <v>83.259423503325948</v>
      </c>
      <c r="D18" s="15">
        <v>453</v>
      </c>
      <c r="E18" s="14">
        <v>51.096363269999998</v>
      </c>
      <c r="F18" s="16">
        <v>2.2516446000000001</v>
      </c>
      <c r="G18" s="14">
        <v>48.903636730000002</v>
      </c>
      <c r="H18" s="16">
        <v>2.2516446000000001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(2415/B19*100)</f>
        <v>84.73684210526315</v>
      </c>
      <c r="D19" s="15">
        <v>435</v>
      </c>
      <c r="E19" s="14">
        <v>64.438494849999998</v>
      </c>
      <c r="F19" s="16">
        <v>2.4882267699999998</v>
      </c>
      <c r="G19" s="14">
        <v>35.561505150000002</v>
      </c>
      <c r="H19" s="16">
        <v>2.4882267699999998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(1471/B20*100)</f>
        <v>84.49167145318782</v>
      </c>
      <c r="D20" s="15">
        <v>270</v>
      </c>
      <c r="E20" s="14">
        <v>42.43599906</v>
      </c>
      <c r="F20" s="16">
        <v>2.6525650500000002</v>
      </c>
      <c r="G20" s="14">
        <v>57.56400094</v>
      </c>
      <c r="H20" s="16">
        <v>2.6525650500000002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(3156/B22*100)</f>
        <v>86.064903190619034</v>
      </c>
      <c r="D22" s="15">
        <v>511</v>
      </c>
      <c r="E22" s="14">
        <v>52.356142890000001</v>
      </c>
      <c r="F22" s="16">
        <v>2.2293050999999999</v>
      </c>
      <c r="G22" s="14">
        <v>47.643857109999999</v>
      </c>
      <c r="H22" s="16">
        <v>2.2293050999999999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(4862/B23*100)</f>
        <v>83.943370165745861</v>
      </c>
      <c r="D23" s="15">
        <v>930</v>
      </c>
      <c r="E23" s="14">
        <v>60.304355289999997</v>
      </c>
      <c r="F23" s="16">
        <v>2.3316914199999998</v>
      </c>
      <c r="G23" s="14">
        <v>39.695644710000003</v>
      </c>
      <c r="H23" s="16">
        <v>2.3316914199999998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(2766/B24*100)</f>
        <v>83.590208522212151</v>
      </c>
      <c r="D24" s="15">
        <v>543</v>
      </c>
      <c r="E24" s="14">
        <v>62.761667449999997</v>
      </c>
      <c r="F24" s="16">
        <v>2.2215484000000001</v>
      </c>
      <c r="G24" s="14">
        <v>37.238332550000003</v>
      </c>
      <c r="H24" s="16">
        <v>2.2215484000000001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(2211/B25*100)</f>
        <v>82.840014986886473</v>
      </c>
      <c r="D25" s="15">
        <v>458</v>
      </c>
      <c r="E25" s="14">
        <v>59.668722070000001</v>
      </c>
      <c r="F25" s="16">
        <v>2.3759260900000001</v>
      </c>
      <c r="G25" s="14">
        <v>40.331277929999999</v>
      </c>
      <c r="H25" s="16">
        <v>2.3759260900000001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(2015/B26*100)</f>
        <v>83.298883836295985</v>
      </c>
      <c r="D26" s="15">
        <v>404</v>
      </c>
      <c r="E26" s="14">
        <v>45.729927449999998</v>
      </c>
      <c r="F26" s="16">
        <v>2.39370985</v>
      </c>
      <c r="G26" s="14">
        <v>54.270072550000002</v>
      </c>
      <c r="H26" s="16">
        <v>2.39370985</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(2280/B27*100)</f>
        <v>84.97950055907566</v>
      </c>
      <c r="D27" s="15">
        <v>403</v>
      </c>
      <c r="E27" s="14">
        <v>57.851303260000002</v>
      </c>
      <c r="F27" s="16">
        <v>2.31799314</v>
      </c>
      <c r="G27" s="14">
        <v>42.148696739999998</v>
      </c>
      <c r="H27" s="16">
        <v>2.31799314</v>
      </c>
      <c r="I27" s="14" t="s">
        <v>139</v>
      </c>
      <c r="J27" s="16" t="s">
        <v>139</v>
      </c>
      <c r="K27" s="14">
        <v>0</v>
      </c>
      <c r="L27" s="16">
        <v>0</v>
      </c>
      <c r="M27" s="14">
        <v>0</v>
      </c>
      <c r="N27" s="16">
        <v>0</v>
      </c>
      <c r="O27" s="14">
        <v>0</v>
      </c>
      <c r="P27" s="16">
        <v>0</v>
      </c>
      <c r="Q27" s="14">
        <v>0</v>
      </c>
      <c r="R27" s="16">
        <v>0</v>
      </c>
    </row>
    <row r="28" spans="1:18" x14ac:dyDescent="0.25">
      <c r="A28" s="11" t="s">
        <v>161</v>
      </c>
      <c r="B28" s="13">
        <v>3803</v>
      </c>
      <c r="C28" s="14">
        <f>(3327/B28*100)</f>
        <v>87.483565606100441</v>
      </c>
      <c r="D28" s="15">
        <v>476</v>
      </c>
      <c r="E28" s="14">
        <v>58.387565520000003</v>
      </c>
      <c r="F28" s="16">
        <v>2.40723179</v>
      </c>
      <c r="G28" s="14">
        <v>41.612434479999997</v>
      </c>
      <c r="H28" s="16">
        <v>2.40723179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(2246/B29*100)</f>
        <v>83.18518518518519</v>
      </c>
      <c r="D29" s="15">
        <v>454</v>
      </c>
      <c r="E29" s="14">
        <v>52.851822480000003</v>
      </c>
      <c r="F29" s="16">
        <v>2.5753962600000002</v>
      </c>
      <c r="G29" s="14">
        <v>47.148177519999997</v>
      </c>
      <c r="H29" s="16">
        <v>2.5753962600000002</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(1910/B30*100)</f>
        <v>84.625609215773139</v>
      </c>
      <c r="D30" s="15">
        <v>347</v>
      </c>
      <c r="E30" s="14">
        <v>45.236880679999999</v>
      </c>
      <c r="F30" s="16">
        <v>2.8329752099999999</v>
      </c>
      <c r="G30" s="14">
        <v>54.763119320000001</v>
      </c>
      <c r="H30" s="16">
        <v>2.8329752099999999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(2273/B31*100)</f>
        <v>83.998521803399854</v>
      </c>
      <c r="D31" s="15">
        <v>433</v>
      </c>
      <c r="E31" s="14">
        <v>43.257601610000002</v>
      </c>
      <c r="F31" s="16">
        <v>2.6625238800000002</v>
      </c>
      <c r="G31" s="14">
        <v>56.742398389999998</v>
      </c>
      <c r="H31" s="16">
        <v>2.6625238800000002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(3113/B33*100)</f>
        <v>85.264311147630792</v>
      </c>
      <c r="D33" s="15">
        <v>538</v>
      </c>
      <c r="E33" s="14">
        <v>64.782057179999995</v>
      </c>
      <c r="F33" s="16">
        <v>2.4852544499999998</v>
      </c>
      <c r="G33" s="14">
        <v>35.217942819999998</v>
      </c>
      <c r="H33" s="16">
        <v>2.4852544499999998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(2601/B34*100)</f>
        <v>85.700164744645804</v>
      </c>
      <c r="D34" s="15">
        <v>434</v>
      </c>
      <c r="E34" s="14">
        <v>60.13079286</v>
      </c>
      <c r="F34" s="16">
        <v>2.4349811099999998</v>
      </c>
      <c r="G34" s="14">
        <v>39.86920714</v>
      </c>
      <c r="H34" s="16">
        <v>2.4349811099999998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(2410/B35*100)</f>
        <v>83.07480179248536</v>
      </c>
      <c r="D35" s="15">
        <v>491</v>
      </c>
      <c r="E35" s="14">
        <v>55.288405900000001</v>
      </c>
      <c r="F35" s="16">
        <v>2.83246764</v>
      </c>
      <c r="G35" s="14">
        <v>44.711594099999999</v>
      </c>
      <c r="H35" s="16">
        <v>2.83246764</v>
      </c>
      <c r="I35" s="14" t="s">
        <v>139</v>
      </c>
      <c r="J35" s="16" t="s">
        <v>139</v>
      </c>
      <c r="K35" s="14">
        <v>0</v>
      </c>
      <c r="L35" s="16">
        <v>0</v>
      </c>
      <c r="M35" s="14">
        <v>0</v>
      </c>
      <c r="N35" s="16">
        <v>0</v>
      </c>
      <c r="O35" s="14">
        <v>0</v>
      </c>
      <c r="P35" s="16">
        <v>0</v>
      </c>
      <c r="Q35" s="14">
        <v>0</v>
      </c>
      <c r="R35" s="16">
        <v>0</v>
      </c>
    </row>
    <row r="36" spans="1:18" x14ac:dyDescent="0.25">
      <c r="A36" s="11" t="s">
        <v>169</v>
      </c>
      <c r="B36" s="13">
        <v>3404</v>
      </c>
      <c r="C36" s="14">
        <f>(2894/B36*100)</f>
        <v>85.017626321974149</v>
      </c>
      <c r="D36" s="15">
        <v>510</v>
      </c>
      <c r="E36" s="14">
        <v>60.149727349999999</v>
      </c>
      <c r="F36" s="16">
        <v>2.6170674300000001</v>
      </c>
      <c r="G36" s="14">
        <v>39.850272650000001</v>
      </c>
      <c r="H36" s="16">
        <v>2.6170674300000001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(2339/B37*100)</f>
        <v>85.646283412669362</v>
      </c>
      <c r="D37" s="15">
        <v>392</v>
      </c>
      <c r="E37" s="14">
        <v>51.570085849999998</v>
      </c>
      <c r="F37" s="16">
        <v>2.5801091999999999</v>
      </c>
      <c r="G37" s="14">
        <v>48.429914150000002</v>
      </c>
      <c r="H37" s="16">
        <v>2.5801091999999999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(2416/B39*100)</f>
        <v>82.232811436351255</v>
      </c>
      <c r="D39" s="15">
        <v>522</v>
      </c>
      <c r="E39" s="14">
        <v>67.908678859999995</v>
      </c>
      <c r="F39" s="16">
        <v>2.3835417200000002</v>
      </c>
      <c r="G39" s="14">
        <v>32.091321139999998</v>
      </c>
      <c r="H39" s="16">
        <v>2.3835417200000002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(5707/B40*100)</f>
        <v>82.447269575267271</v>
      </c>
      <c r="D40" s="15">
        <v>1215</v>
      </c>
      <c r="E40" s="14">
        <v>55.166709709999999</v>
      </c>
      <c r="F40" s="16">
        <v>2.2700581099999999</v>
      </c>
      <c r="G40" s="14">
        <v>44.833290290000001</v>
      </c>
      <c r="H40" s="16">
        <v>2.2700581099999999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(2408/B41*100)</f>
        <v>84.37281009110022</v>
      </c>
      <c r="D41" s="15">
        <v>446</v>
      </c>
      <c r="E41" s="14">
        <v>53.77983133</v>
      </c>
      <c r="F41" s="16">
        <v>2.4041822399999999</v>
      </c>
      <c r="G41" s="14">
        <v>46.22016867</v>
      </c>
      <c r="H41" s="16">
        <v>2.4041822399999999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84.303307253358753</v>
      </c>
      <c r="D42" s="15">
        <f>IF(COUNT(D7:D41) &gt; 0, AVERAGE(D7:D41), "—")</f>
        <v>569.71875</v>
      </c>
      <c r="E42" s="14">
        <f>IF(COUNT(E7:E41) &gt; 0, AVERAGE(E7:E41), "—")</f>
        <v>54.199498576249994</v>
      </c>
      <c r="F42" s="16">
        <f>IF(COUNT(F7:F41) &gt; 0, SQRT(SUMSQ(F7:F41)/(COUNT(F7:F41)*COUNT(F7:F41)) ), "—")</f>
        <v>0.42051063834773461</v>
      </c>
      <c r="G42" s="14">
        <f>IF(COUNT(G7:G41) &gt; 0, AVERAGE(G7:G41), "—")</f>
        <v>45.800501423750006</v>
      </c>
      <c r="H42" s="16">
        <f>IF(COUNT(H7:H41) &gt; 0, SQRT(SUMSQ(H7:H41)/(COUNT(H7:H41)*COUNT(H7:H41)) ), "—")</f>
        <v>0.42051063834773461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(10851/B46*100)</f>
        <v>89.878240702393768</v>
      </c>
      <c r="D46" s="15">
        <v>1222</v>
      </c>
      <c r="E46" s="14">
        <v>61.335912800000003</v>
      </c>
      <c r="F46" s="16">
        <v>1.7701706800000001</v>
      </c>
      <c r="G46" s="14">
        <v>38.664087199999997</v>
      </c>
      <c r="H46" s="16">
        <v>1.7701706800000001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(2411/B47*100)</f>
        <v>85.405596882748853</v>
      </c>
      <c r="D47" s="15">
        <v>412</v>
      </c>
      <c r="E47" s="14">
        <v>55.44794521</v>
      </c>
      <c r="F47" s="16">
        <v>2.68911378</v>
      </c>
      <c r="G47" s="14">
        <v>44.55205479</v>
      </c>
      <c r="H47" s="16">
        <v>2.68911378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(3877/B48*100)</f>
        <v>82.806492951730021</v>
      </c>
      <c r="D48" s="15">
        <v>805</v>
      </c>
      <c r="E48" s="14">
        <v>52.476190269999996</v>
      </c>
      <c r="F48" s="16">
        <v>2.4123981799999998</v>
      </c>
      <c r="G48" s="14">
        <v>47.523809730000004</v>
      </c>
      <c r="H48" s="16">
        <v>2.4123981799999998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(5260/B50*100)</f>
        <v>85.417343293277042</v>
      </c>
      <c r="D50" s="15">
        <v>898</v>
      </c>
      <c r="E50" s="14">
        <v>61.69668592</v>
      </c>
      <c r="F50" s="16">
        <v>1.9195352299999999</v>
      </c>
      <c r="G50" s="14">
        <v>38.30331408</v>
      </c>
      <c r="H50" s="16">
        <v>1.9195352299999999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(3053/B51*100)</f>
        <v>87.378362907842018</v>
      </c>
      <c r="D51" s="15">
        <v>441</v>
      </c>
      <c r="E51" s="14">
        <v>53.244972629999999</v>
      </c>
      <c r="F51" s="16">
        <v>2.2399123099999998</v>
      </c>
      <c r="G51" s="14">
        <v>46.755027370000001</v>
      </c>
      <c r="H51" s="16">
        <v>2.2399123099999998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(2522/B52*100)</f>
        <v>83.703949551941577</v>
      </c>
      <c r="D52" s="15">
        <v>491</v>
      </c>
      <c r="E52" s="14">
        <v>56.150526509999999</v>
      </c>
      <c r="F52" s="16">
        <v>2.50314638</v>
      </c>
      <c r="G52" s="14">
        <v>43.849473490000001</v>
      </c>
      <c r="H52" s="16">
        <v>2.50314638</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(2311/B53*100)</f>
        <v>83.731884057971016</v>
      </c>
      <c r="D53" s="15">
        <v>449</v>
      </c>
      <c r="E53" s="14">
        <v>67.856883240000002</v>
      </c>
      <c r="F53" s="16">
        <v>2.5890810800000001</v>
      </c>
      <c r="G53" s="14">
        <v>32.143116759999998</v>
      </c>
      <c r="H53" s="16">
        <v>2.5890810800000001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(2211/B56*100)</f>
        <v>82.654205607476641</v>
      </c>
      <c r="D56" s="15">
        <v>464</v>
      </c>
      <c r="E56" s="14">
        <v>54.68853798</v>
      </c>
      <c r="F56" s="16">
        <v>2.65597459</v>
      </c>
      <c r="G56" s="14">
        <v>45.31146202</v>
      </c>
      <c r="H56" s="16">
        <v>2.65597459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(2683/B61*100)</f>
        <v>83.817557013433301</v>
      </c>
      <c r="D61" s="15">
        <v>518</v>
      </c>
      <c r="E61" s="14">
        <v>45.240045979999998</v>
      </c>
      <c r="F61" s="16">
        <v>2.31073532</v>
      </c>
      <c r="G61" s="14">
        <v>54.759954020000002</v>
      </c>
      <c r="H61" s="16">
        <v>2.31073532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(1862/B62*100)</f>
        <v>83.49775784753362</v>
      </c>
      <c r="D62" s="15">
        <v>368</v>
      </c>
      <c r="E62" s="14">
        <v>48.902462380000003</v>
      </c>
      <c r="F62" s="16">
        <v>2.3764906099999998</v>
      </c>
      <c r="G62" s="14">
        <v>51.097537619999997</v>
      </c>
      <c r="H62" s="16">
        <v>2.3764906099999998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(2350/B66*100)</f>
        <v>84.806928906531937</v>
      </c>
      <c r="D66" s="15">
        <v>421</v>
      </c>
      <c r="E66" s="14">
        <v>59.03493331</v>
      </c>
      <c r="F66" s="16">
        <v>2.5021019799999999</v>
      </c>
      <c r="G66" s="14">
        <v>40.96506669</v>
      </c>
      <c r="H66" s="16">
        <v>2.5021019799999999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(3046/B67*100)</f>
        <v>88.034682080924853</v>
      </c>
      <c r="D67" s="15">
        <v>414</v>
      </c>
      <c r="E67" s="14">
        <v>60.02424989</v>
      </c>
      <c r="F67" s="16">
        <v>2.40057286</v>
      </c>
      <c r="G67" s="14">
        <v>39.97575011</v>
      </c>
      <c r="H67" s="16">
        <v>2.40057286</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(2633/B70*100)</f>
        <v>84.744126166720307</v>
      </c>
      <c r="D70" s="15">
        <v>474</v>
      </c>
      <c r="E70" s="14">
        <v>54.200998519999999</v>
      </c>
      <c r="F70" s="16">
        <v>2.2047695699999998</v>
      </c>
      <c r="G70" s="14">
        <v>45.799001480000001</v>
      </c>
      <c r="H70" s="16">
        <v>2.2047695699999998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57.925728880000001</v>
      </c>
      <c r="F72" s="16">
        <v>2.0328064499999998</v>
      </c>
      <c r="G72" s="14">
        <v>42.074271119999999</v>
      </c>
      <c r="H72" s="16">
        <v>2.0328064499999998</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(4007/B73*100)</f>
        <v>86.134995700773871</v>
      </c>
      <c r="D73" s="15">
        <v>645</v>
      </c>
      <c r="E73" s="14">
        <v>61.243352600000001</v>
      </c>
      <c r="F73" s="16">
        <v>2.4896845000000001</v>
      </c>
      <c r="G73" s="14">
        <v>38.756647399999999</v>
      </c>
      <c r="H73" s="16">
        <v>2.4896845000000001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(2538/B75*100)</f>
        <v>85.483327719770969</v>
      </c>
      <c r="D75" s="15">
        <v>431</v>
      </c>
      <c r="E75" s="14">
        <v>66.250290750000005</v>
      </c>
      <c r="F75" s="16">
        <v>2.2974238100000002</v>
      </c>
      <c r="G75" s="14">
        <v>33.749709250000002</v>
      </c>
      <c r="H75" s="16">
        <v>2.2974238100000002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(5931/B76*100)</f>
        <v>83.359100491918483</v>
      </c>
      <c r="D76" s="15">
        <v>1184</v>
      </c>
      <c r="E76" s="14">
        <v>57.678720030000001</v>
      </c>
      <c r="F76" s="16">
        <v>1.5753890800000001</v>
      </c>
      <c r="G76" s="14">
        <v>42.321279969999999</v>
      </c>
      <c r="H76" s="16">
        <v>1.5753890800000001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(2692/B77*100)</f>
        <v>85.351934051997475</v>
      </c>
      <c r="D77" s="15">
        <v>462</v>
      </c>
      <c r="E77" s="14">
        <v>54.108776480000003</v>
      </c>
      <c r="F77" s="16">
        <v>2.4473899499999998</v>
      </c>
      <c r="G77" s="14">
        <v>45.891223519999997</v>
      </c>
      <c r="H77" s="16">
        <v>2.4473899499999998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(3923/B81*100)</f>
        <v>83.503618561089823</v>
      </c>
      <c r="D81" s="15">
        <v>775</v>
      </c>
      <c r="E81" s="14">
        <v>59.408962950000003</v>
      </c>
      <c r="F81" s="16">
        <v>2.0246329099999998</v>
      </c>
      <c r="G81" s="14">
        <v>40.591037049999997</v>
      </c>
      <c r="H81" s="16">
        <v>2.0246329099999998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277</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(6066/B7*100)</f>
        <v>84.685187770487218</v>
      </c>
      <c r="D7" s="15">
        <v>1097</v>
      </c>
      <c r="E7" s="14">
        <v>74.472062109999996</v>
      </c>
      <c r="F7" s="16">
        <v>1.6766616999999999</v>
      </c>
      <c r="G7" s="14">
        <v>8.2707754399999995</v>
      </c>
      <c r="H7" s="16">
        <v>0.92451715999999995</v>
      </c>
      <c r="I7" s="14">
        <v>17.25716246</v>
      </c>
      <c r="J7" s="16">
        <v>1.4939776899999999</v>
      </c>
      <c r="K7" s="14" t="s">
        <v>139</v>
      </c>
      <c r="L7" s="16" t="s">
        <v>139</v>
      </c>
      <c r="M7" s="14">
        <v>0</v>
      </c>
      <c r="N7" s="16">
        <v>0</v>
      </c>
      <c r="O7" s="14">
        <v>0</v>
      </c>
      <c r="P7" s="16">
        <v>0</v>
      </c>
      <c r="Q7" s="14">
        <v>0</v>
      </c>
      <c r="R7" s="16">
        <v>0</v>
      </c>
      <c r="S7" s="14">
        <v>0</v>
      </c>
      <c r="T7" s="16">
        <v>0</v>
      </c>
    </row>
    <row r="8" spans="1:20" x14ac:dyDescent="0.25">
      <c r="A8" s="11" t="s">
        <v>140</v>
      </c>
      <c r="B8" s="13">
        <v>3443</v>
      </c>
      <c r="C8" s="14">
        <f>(2902/B8*100)</f>
        <v>84.286959047342435</v>
      </c>
      <c r="D8" s="15">
        <v>541</v>
      </c>
      <c r="E8" s="14">
        <v>81.778188139999997</v>
      </c>
      <c r="F8" s="16">
        <v>1.5671874800000001</v>
      </c>
      <c r="G8" s="14">
        <v>6.3144286300000001</v>
      </c>
      <c r="H8" s="16">
        <v>0.97910213000000001</v>
      </c>
      <c r="I8" s="14">
        <v>11.907383230000001</v>
      </c>
      <c r="J8" s="16">
        <v>1.3398893199999999</v>
      </c>
      <c r="K8" s="14" t="s">
        <v>139</v>
      </c>
      <c r="L8" s="16" t="s">
        <v>139</v>
      </c>
      <c r="M8" s="14">
        <v>0</v>
      </c>
      <c r="N8" s="16">
        <v>0</v>
      </c>
      <c r="O8" s="14">
        <v>0</v>
      </c>
      <c r="P8" s="16">
        <v>0</v>
      </c>
      <c r="Q8" s="14">
        <v>0</v>
      </c>
      <c r="R8" s="16">
        <v>0</v>
      </c>
      <c r="S8" s="14">
        <v>0</v>
      </c>
      <c r="T8" s="16">
        <v>0</v>
      </c>
    </row>
    <row r="9" spans="1:20" x14ac:dyDescent="0.25">
      <c r="A9" s="11" t="s">
        <v>141</v>
      </c>
      <c r="B9" s="13">
        <v>4752</v>
      </c>
      <c r="C9" s="14">
        <f>(4006/B9*100)</f>
        <v>84.301346801346796</v>
      </c>
      <c r="D9" s="15">
        <v>746</v>
      </c>
      <c r="E9" s="14">
        <v>80.794532380000007</v>
      </c>
      <c r="F9" s="16">
        <v>1.5293655100000001</v>
      </c>
      <c r="G9" s="14">
        <v>7.4632603199999998</v>
      </c>
      <c r="H9" s="16">
        <v>0.91485369999999999</v>
      </c>
      <c r="I9" s="14">
        <v>11.7422073</v>
      </c>
      <c r="J9" s="16">
        <v>1.3141226800000001</v>
      </c>
      <c r="K9" s="14" t="s">
        <v>139</v>
      </c>
      <c r="L9" s="16" t="s">
        <v>139</v>
      </c>
      <c r="M9" s="14">
        <v>0</v>
      </c>
      <c r="N9" s="16">
        <v>0</v>
      </c>
      <c r="O9" s="14">
        <v>0</v>
      </c>
      <c r="P9" s="16">
        <v>0</v>
      </c>
      <c r="Q9" s="14">
        <v>0</v>
      </c>
      <c r="R9" s="16">
        <v>0</v>
      </c>
      <c r="S9" s="14">
        <v>0</v>
      </c>
      <c r="T9" s="16">
        <v>0</v>
      </c>
    </row>
    <row r="10" spans="1:20" x14ac:dyDescent="0.25">
      <c r="A10" s="11" t="s">
        <v>142</v>
      </c>
      <c r="B10" s="13">
        <v>10022</v>
      </c>
      <c r="C10" s="14">
        <f>(8333/B10*100)</f>
        <v>83.147076431849925</v>
      </c>
      <c r="D10" s="15">
        <v>1689</v>
      </c>
      <c r="E10" s="14">
        <v>74.766093720000001</v>
      </c>
      <c r="F10" s="16">
        <v>1.2838769800000001</v>
      </c>
      <c r="G10" s="14">
        <v>6.5023620700000002</v>
      </c>
      <c r="H10" s="16">
        <v>0.73569406999999998</v>
      </c>
      <c r="I10" s="14">
        <v>18.73154422</v>
      </c>
      <c r="J10" s="16">
        <v>1.29674936</v>
      </c>
      <c r="K10" s="14" t="s">
        <v>139</v>
      </c>
      <c r="L10" s="16" t="s">
        <v>139</v>
      </c>
      <c r="M10" s="14">
        <v>0</v>
      </c>
      <c r="N10" s="16">
        <v>0</v>
      </c>
      <c r="O10" s="14">
        <v>0</v>
      </c>
      <c r="P10" s="16">
        <v>0</v>
      </c>
      <c r="Q10" s="14">
        <v>0</v>
      </c>
      <c r="R10" s="16">
        <v>0</v>
      </c>
      <c r="S10" s="14">
        <v>0</v>
      </c>
      <c r="T10" s="16">
        <v>0</v>
      </c>
    </row>
    <row r="11" spans="1:20" x14ac:dyDescent="0.25">
      <c r="A11" s="11" t="s">
        <v>143</v>
      </c>
      <c r="B11" s="13">
        <v>3500</v>
      </c>
      <c r="C11" s="14">
        <f>(2974/B11*100)</f>
        <v>84.971428571428575</v>
      </c>
      <c r="D11" s="15">
        <v>526</v>
      </c>
      <c r="E11" s="14">
        <v>93.014568139999994</v>
      </c>
      <c r="F11" s="16">
        <v>1.15308454</v>
      </c>
      <c r="G11" s="14">
        <v>4.1615976899999998</v>
      </c>
      <c r="H11" s="16">
        <v>0.94935084999999997</v>
      </c>
      <c r="I11" s="14">
        <v>2.82383417</v>
      </c>
      <c r="J11" s="16">
        <v>0.71811228999999999</v>
      </c>
      <c r="K11" s="14" t="s">
        <v>139</v>
      </c>
      <c r="L11" s="16" t="s">
        <v>139</v>
      </c>
      <c r="M11" s="14">
        <v>0</v>
      </c>
      <c r="N11" s="16">
        <v>0</v>
      </c>
      <c r="O11" s="14">
        <v>0</v>
      </c>
      <c r="P11" s="16">
        <v>0</v>
      </c>
      <c r="Q11" s="14">
        <v>0</v>
      </c>
      <c r="R11" s="16">
        <v>0</v>
      </c>
      <c r="S11" s="14">
        <v>0</v>
      </c>
      <c r="T11" s="16">
        <v>0</v>
      </c>
    </row>
    <row r="12" spans="1:20" x14ac:dyDescent="0.25">
      <c r="A12" s="11" t="s">
        <v>144</v>
      </c>
      <c r="B12" s="13">
        <v>3422</v>
      </c>
      <c r="C12" s="14">
        <f>(2900/B12*100)</f>
        <v>84.745762711864401</v>
      </c>
      <c r="D12" s="15">
        <v>522</v>
      </c>
      <c r="E12" s="14">
        <v>86.784509040000003</v>
      </c>
      <c r="F12" s="16">
        <v>1.73612363</v>
      </c>
      <c r="G12" s="14">
        <v>5.0196218300000002</v>
      </c>
      <c r="H12" s="16">
        <v>1.09888013</v>
      </c>
      <c r="I12" s="14">
        <v>8.1958691300000002</v>
      </c>
      <c r="J12" s="16">
        <v>1.4495853700000001</v>
      </c>
      <c r="K12" s="14" t="s">
        <v>139</v>
      </c>
      <c r="L12" s="16" t="s">
        <v>139</v>
      </c>
      <c r="M12" s="14">
        <v>0</v>
      </c>
      <c r="N12" s="16">
        <v>0</v>
      </c>
      <c r="O12" s="14">
        <v>0</v>
      </c>
      <c r="P12" s="16">
        <v>0</v>
      </c>
      <c r="Q12" s="14">
        <v>0</v>
      </c>
      <c r="R12" s="16">
        <v>0</v>
      </c>
      <c r="S12" s="14">
        <v>0</v>
      </c>
      <c r="T12" s="16">
        <v>0</v>
      </c>
    </row>
    <row r="13" spans="1:20" x14ac:dyDescent="0.25">
      <c r="A13" s="11" t="s">
        <v>145</v>
      </c>
      <c r="B13" s="13">
        <v>3602</v>
      </c>
      <c r="C13" s="14">
        <f>(3057/B13*100)</f>
        <v>84.869516935036089</v>
      </c>
      <c r="D13" s="15">
        <v>545</v>
      </c>
      <c r="E13" s="14">
        <v>78.782832060000004</v>
      </c>
      <c r="F13" s="16">
        <v>2.2864170399999999</v>
      </c>
      <c r="G13" s="14">
        <v>9.4773489699999995</v>
      </c>
      <c r="H13" s="16">
        <v>1.42538886</v>
      </c>
      <c r="I13" s="14">
        <v>11.73981897</v>
      </c>
      <c r="J13" s="16">
        <v>1.73066611</v>
      </c>
      <c r="K13" s="14" t="s">
        <v>139</v>
      </c>
      <c r="L13" s="16" t="s">
        <v>139</v>
      </c>
      <c r="M13" s="14">
        <v>0</v>
      </c>
      <c r="N13" s="16">
        <v>0</v>
      </c>
      <c r="O13" s="14">
        <v>0</v>
      </c>
      <c r="P13" s="16">
        <v>0</v>
      </c>
      <c r="Q13" s="14">
        <v>0</v>
      </c>
      <c r="R13" s="16">
        <v>0</v>
      </c>
      <c r="S13" s="14">
        <v>0</v>
      </c>
      <c r="T13" s="16">
        <v>0</v>
      </c>
    </row>
    <row r="14" spans="1:20" x14ac:dyDescent="0.25">
      <c r="A14" s="11" t="s">
        <v>146</v>
      </c>
      <c r="B14" s="13">
        <v>2788</v>
      </c>
      <c r="C14" s="14">
        <f>(2341/B14*100)</f>
        <v>83.967001434720231</v>
      </c>
      <c r="D14" s="15">
        <v>447</v>
      </c>
      <c r="E14" s="14">
        <v>72.854972250000003</v>
      </c>
      <c r="F14" s="16">
        <v>2.4501244899999999</v>
      </c>
      <c r="G14" s="14">
        <v>8.1379800699999993</v>
      </c>
      <c r="H14" s="16">
        <v>1.1993112500000001</v>
      </c>
      <c r="I14" s="14">
        <v>19.007047669999999</v>
      </c>
      <c r="J14" s="16">
        <v>2.12696503</v>
      </c>
      <c r="K14" s="14" t="s">
        <v>139</v>
      </c>
      <c r="L14" s="16" t="s">
        <v>139</v>
      </c>
      <c r="M14" s="14">
        <v>0</v>
      </c>
      <c r="N14" s="16">
        <v>0</v>
      </c>
      <c r="O14" s="14">
        <v>0</v>
      </c>
      <c r="P14" s="16">
        <v>0</v>
      </c>
      <c r="Q14" s="14">
        <v>0</v>
      </c>
      <c r="R14" s="16">
        <v>0</v>
      </c>
      <c r="S14" s="14">
        <v>0</v>
      </c>
      <c r="T14" s="16">
        <v>0</v>
      </c>
    </row>
    <row r="15" spans="1:20" x14ac:dyDescent="0.25">
      <c r="A15" s="11" t="s">
        <v>147</v>
      </c>
      <c r="B15" s="13">
        <v>2863</v>
      </c>
      <c r="C15" s="14">
        <f>(2414/B15*100)</f>
        <v>84.317149842822218</v>
      </c>
      <c r="D15" s="15">
        <v>449</v>
      </c>
      <c r="E15" s="14">
        <v>65.720046800000006</v>
      </c>
      <c r="F15" s="16">
        <v>2.46531017</v>
      </c>
      <c r="G15" s="14">
        <v>8.8033529599999998</v>
      </c>
      <c r="H15" s="16">
        <v>1.5313956900000001</v>
      </c>
      <c r="I15" s="14">
        <v>25.47660024</v>
      </c>
      <c r="J15" s="16">
        <v>1.9640066199999999</v>
      </c>
      <c r="K15" s="14" t="s">
        <v>139</v>
      </c>
      <c r="L15" s="16" t="s">
        <v>139</v>
      </c>
      <c r="M15" s="14">
        <v>0</v>
      </c>
      <c r="N15" s="16">
        <v>0</v>
      </c>
      <c r="O15" s="14">
        <v>0</v>
      </c>
      <c r="P15" s="16">
        <v>0</v>
      </c>
      <c r="Q15" s="14">
        <v>0</v>
      </c>
      <c r="R15" s="16">
        <v>0</v>
      </c>
      <c r="S15" s="14">
        <v>0</v>
      </c>
      <c r="T15" s="16">
        <v>0</v>
      </c>
    </row>
    <row r="16" spans="1:20" x14ac:dyDescent="0.25">
      <c r="A16" s="11" t="s">
        <v>148</v>
      </c>
      <c r="B16" s="13">
        <v>3111</v>
      </c>
      <c r="C16" s="14">
        <f>(2608/B16*100)</f>
        <v>83.83156541305047</v>
      </c>
      <c r="D16" s="15">
        <v>503</v>
      </c>
      <c r="E16" s="14">
        <v>79.453028750000001</v>
      </c>
      <c r="F16" s="16">
        <v>1.80762753</v>
      </c>
      <c r="G16" s="14">
        <v>6.4142806400000003</v>
      </c>
      <c r="H16" s="16">
        <v>1.0419126599999999</v>
      </c>
      <c r="I16" s="14">
        <v>14.1326906</v>
      </c>
      <c r="J16" s="16">
        <v>1.5164889800000001</v>
      </c>
      <c r="K16" s="14" t="s">
        <v>139</v>
      </c>
      <c r="L16" s="16" t="s">
        <v>139</v>
      </c>
      <c r="M16" s="14">
        <v>0</v>
      </c>
      <c r="N16" s="16">
        <v>0</v>
      </c>
      <c r="O16" s="14">
        <v>0</v>
      </c>
      <c r="P16" s="16">
        <v>0</v>
      </c>
      <c r="Q16" s="14">
        <v>0</v>
      </c>
      <c r="R16" s="16">
        <v>0</v>
      </c>
      <c r="S16" s="14">
        <v>0</v>
      </c>
      <c r="T16" s="16">
        <v>0</v>
      </c>
    </row>
    <row r="17" spans="1:20" x14ac:dyDescent="0.25">
      <c r="A17" s="11" t="s">
        <v>149</v>
      </c>
      <c r="B17" s="13">
        <v>3197</v>
      </c>
      <c r="C17" s="14">
        <f>(2696/B17*100)</f>
        <v>84.329058492336557</v>
      </c>
      <c r="D17" s="15">
        <v>501</v>
      </c>
      <c r="E17" s="14">
        <v>75.26475216</v>
      </c>
      <c r="F17" s="16">
        <v>2.09531767</v>
      </c>
      <c r="G17" s="14">
        <v>6.1209397599999997</v>
      </c>
      <c r="H17" s="16">
        <v>1.1060345600000001</v>
      </c>
      <c r="I17" s="14">
        <v>18.614308090000002</v>
      </c>
      <c r="J17" s="16">
        <v>1.7134315099999999</v>
      </c>
      <c r="K17" s="14" t="s">
        <v>139</v>
      </c>
      <c r="L17" s="16" t="s">
        <v>139</v>
      </c>
      <c r="M17" s="14">
        <v>0</v>
      </c>
      <c r="N17" s="16">
        <v>0</v>
      </c>
      <c r="O17" s="14">
        <v>0</v>
      </c>
      <c r="P17" s="16">
        <v>0</v>
      </c>
      <c r="Q17" s="14">
        <v>0</v>
      </c>
      <c r="R17" s="16">
        <v>0</v>
      </c>
      <c r="S17" s="14">
        <v>0</v>
      </c>
      <c r="T17" s="16">
        <v>0</v>
      </c>
    </row>
    <row r="18" spans="1:20" x14ac:dyDescent="0.25">
      <c r="A18" s="11" t="s">
        <v>150</v>
      </c>
      <c r="B18" s="13">
        <v>2706</v>
      </c>
      <c r="C18" s="14">
        <f>(2253/B18*100)</f>
        <v>83.259423503325948</v>
      </c>
      <c r="D18" s="15">
        <v>453</v>
      </c>
      <c r="E18" s="14">
        <v>82.757642039999993</v>
      </c>
      <c r="F18" s="16">
        <v>1.91410087</v>
      </c>
      <c r="G18" s="14">
        <v>7.1328933000000001</v>
      </c>
      <c r="H18" s="16">
        <v>1.3522139799999999</v>
      </c>
      <c r="I18" s="14">
        <v>10.10946466</v>
      </c>
      <c r="J18" s="16">
        <v>1.37994689</v>
      </c>
      <c r="K18" s="14" t="s">
        <v>139</v>
      </c>
      <c r="L18" s="16" t="s">
        <v>139</v>
      </c>
      <c r="M18" s="14">
        <v>0</v>
      </c>
      <c r="N18" s="16">
        <v>0</v>
      </c>
      <c r="O18" s="14">
        <v>0</v>
      </c>
      <c r="P18" s="16">
        <v>0</v>
      </c>
      <c r="Q18" s="14">
        <v>0</v>
      </c>
      <c r="R18" s="16">
        <v>0</v>
      </c>
      <c r="S18" s="14">
        <v>0</v>
      </c>
      <c r="T18" s="16">
        <v>0</v>
      </c>
    </row>
    <row r="19" spans="1:20" x14ac:dyDescent="0.25">
      <c r="A19" s="11" t="s">
        <v>151</v>
      </c>
      <c r="B19" s="13">
        <v>2850</v>
      </c>
      <c r="C19" s="14">
        <f>(2415/B19*100)</f>
        <v>84.73684210526315</v>
      </c>
      <c r="D19" s="15">
        <v>435</v>
      </c>
      <c r="E19" s="14">
        <v>85.919312110000007</v>
      </c>
      <c r="F19" s="16">
        <v>1.6429714500000001</v>
      </c>
      <c r="G19" s="14">
        <v>4.3915306699999999</v>
      </c>
      <c r="H19" s="16">
        <v>1.1994353</v>
      </c>
      <c r="I19" s="14">
        <v>9.6891572299999993</v>
      </c>
      <c r="J19" s="16">
        <v>1.30831729</v>
      </c>
      <c r="K19" s="14" t="s">
        <v>139</v>
      </c>
      <c r="L19" s="16" t="s">
        <v>139</v>
      </c>
      <c r="M19" s="14">
        <v>0</v>
      </c>
      <c r="N19" s="16">
        <v>0</v>
      </c>
      <c r="O19" s="14">
        <v>0</v>
      </c>
      <c r="P19" s="16">
        <v>0</v>
      </c>
      <c r="Q19" s="14">
        <v>0</v>
      </c>
      <c r="R19" s="16">
        <v>0</v>
      </c>
      <c r="S19" s="14">
        <v>0</v>
      </c>
      <c r="T19" s="16">
        <v>0</v>
      </c>
    </row>
    <row r="20" spans="1:20" x14ac:dyDescent="0.25">
      <c r="A20" s="11" t="s">
        <v>152</v>
      </c>
      <c r="B20" s="13">
        <v>1741</v>
      </c>
      <c r="C20" s="14">
        <f>(1471/B20*100)</f>
        <v>84.49167145318782</v>
      </c>
      <c r="D20" s="15">
        <v>270</v>
      </c>
      <c r="E20" s="14">
        <v>72.754327090000004</v>
      </c>
      <c r="F20" s="16">
        <v>2.5845851</v>
      </c>
      <c r="G20" s="14">
        <v>7.6752309399999996</v>
      </c>
      <c r="H20" s="16">
        <v>1.5603683100000001</v>
      </c>
      <c r="I20" s="14">
        <v>19.57044196</v>
      </c>
      <c r="J20" s="16">
        <v>2.8647195299999999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(3156/B22*100)</f>
        <v>86.064903190619034</v>
      </c>
      <c r="D22" s="15">
        <v>511</v>
      </c>
      <c r="E22" s="14">
        <v>82.512</v>
      </c>
      <c r="F22" s="16">
        <v>1.72971582</v>
      </c>
      <c r="G22" s="14">
        <v>5.2944799099999997</v>
      </c>
      <c r="H22" s="16">
        <v>1.09632547</v>
      </c>
      <c r="I22" s="14">
        <v>12.19352009</v>
      </c>
      <c r="J22" s="16">
        <v>1.44588827</v>
      </c>
      <c r="K22" s="14" t="s">
        <v>139</v>
      </c>
      <c r="L22" s="16" t="s">
        <v>139</v>
      </c>
      <c r="M22" s="14">
        <v>0</v>
      </c>
      <c r="N22" s="16">
        <v>0</v>
      </c>
      <c r="O22" s="14">
        <v>0</v>
      </c>
      <c r="P22" s="16">
        <v>0</v>
      </c>
      <c r="Q22" s="14">
        <v>0</v>
      </c>
      <c r="R22" s="16">
        <v>0</v>
      </c>
      <c r="S22" s="14">
        <v>0</v>
      </c>
      <c r="T22" s="16">
        <v>0</v>
      </c>
    </row>
    <row r="23" spans="1:20" x14ac:dyDescent="0.25">
      <c r="A23" s="11" t="s">
        <v>156</v>
      </c>
      <c r="B23" s="13">
        <v>5792</v>
      </c>
      <c r="C23" s="14">
        <f>(4862/B23*100)</f>
        <v>83.943370165745861</v>
      </c>
      <c r="D23" s="15">
        <v>930</v>
      </c>
      <c r="E23" s="14">
        <v>87.012547429999998</v>
      </c>
      <c r="F23" s="16">
        <v>1.31363374</v>
      </c>
      <c r="G23" s="14">
        <v>3.9279966499999999</v>
      </c>
      <c r="H23" s="16">
        <v>0.75799282999999995</v>
      </c>
      <c r="I23" s="14">
        <v>9.0594559199999996</v>
      </c>
      <c r="J23" s="16">
        <v>1.0271656499999999</v>
      </c>
      <c r="K23" s="14" t="s">
        <v>139</v>
      </c>
      <c r="L23" s="16" t="s">
        <v>139</v>
      </c>
      <c r="M23" s="14">
        <v>0</v>
      </c>
      <c r="N23" s="16">
        <v>0</v>
      </c>
      <c r="O23" s="14">
        <v>0</v>
      </c>
      <c r="P23" s="16">
        <v>0</v>
      </c>
      <c r="Q23" s="14">
        <v>0</v>
      </c>
      <c r="R23" s="16">
        <v>0</v>
      </c>
      <c r="S23" s="14">
        <v>0</v>
      </c>
      <c r="T23" s="16">
        <v>0</v>
      </c>
    </row>
    <row r="24" spans="1:20" x14ac:dyDescent="0.25">
      <c r="A24" s="11" t="s">
        <v>157</v>
      </c>
      <c r="B24" s="13">
        <v>3309</v>
      </c>
      <c r="C24" s="14">
        <f>(2766/B24*100)</f>
        <v>83.590208522212151</v>
      </c>
      <c r="D24" s="15">
        <v>543</v>
      </c>
      <c r="E24" s="14">
        <v>77.04676576</v>
      </c>
      <c r="F24" s="16">
        <v>1.6976009299999999</v>
      </c>
      <c r="G24" s="14">
        <v>6.2239656700000001</v>
      </c>
      <c r="H24" s="16">
        <v>0.99153258</v>
      </c>
      <c r="I24" s="14">
        <v>16.729268569999999</v>
      </c>
      <c r="J24" s="16">
        <v>1.5579155099999999</v>
      </c>
      <c r="K24" s="14" t="s">
        <v>139</v>
      </c>
      <c r="L24" s="16" t="s">
        <v>139</v>
      </c>
      <c r="M24" s="14">
        <v>0</v>
      </c>
      <c r="N24" s="16">
        <v>0</v>
      </c>
      <c r="O24" s="14">
        <v>0</v>
      </c>
      <c r="P24" s="16">
        <v>0</v>
      </c>
      <c r="Q24" s="14">
        <v>0</v>
      </c>
      <c r="R24" s="16">
        <v>0</v>
      </c>
      <c r="S24" s="14">
        <v>0</v>
      </c>
      <c r="T24" s="16">
        <v>0</v>
      </c>
    </row>
    <row r="25" spans="1:20" x14ac:dyDescent="0.25">
      <c r="A25" s="11" t="s">
        <v>158</v>
      </c>
      <c r="B25" s="13">
        <v>2669</v>
      </c>
      <c r="C25" s="14">
        <f>(2211/B25*100)</f>
        <v>82.840014986886473</v>
      </c>
      <c r="D25" s="15">
        <v>458</v>
      </c>
      <c r="E25" s="14">
        <v>73.368094990000003</v>
      </c>
      <c r="F25" s="16">
        <v>2.2820745100000002</v>
      </c>
      <c r="G25" s="14">
        <v>6.6226991999999996</v>
      </c>
      <c r="H25" s="16">
        <v>1.3661125599999999</v>
      </c>
      <c r="I25" s="14">
        <v>20.009205810000001</v>
      </c>
      <c r="J25" s="16">
        <v>2.1080978799999999</v>
      </c>
      <c r="K25" s="14" t="s">
        <v>139</v>
      </c>
      <c r="L25" s="16" t="s">
        <v>139</v>
      </c>
      <c r="M25" s="14">
        <v>0</v>
      </c>
      <c r="N25" s="16">
        <v>0</v>
      </c>
      <c r="O25" s="14">
        <v>0</v>
      </c>
      <c r="P25" s="16">
        <v>0</v>
      </c>
      <c r="Q25" s="14">
        <v>0</v>
      </c>
      <c r="R25" s="16">
        <v>0</v>
      </c>
      <c r="S25" s="14">
        <v>0</v>
      </c>
      <c r="T25" s="16">
        <v>0</v>
      </c>
    </row>
    <row r="26" spans="1:20" x14ac:dyDescent="0.25">
      <c r="A26" s="11" t="s">
        <v>159</v>
      </c>
      <c r="B26" s="13">
        <v>2419</v>
      </c>
      <c r="C26" s="14">
        <f>(2015/B26*100)</f>
        <v>83.298883836295985</v>
      </c>
      <c r="D26" s="15">
        <v>404</v>
      </c>
      <c r="E26" s="14">
        <v>82.468035790000002</v>
      </c>
      <c r="F26" s="16">
        <v>1.8133453900000001</v>
      </c>
      <c r="G26" s="14">
        <v>6.0612074099999997</v>
      </c>
      <c r="H26" s="16">
        <v>1.23214505</v>
      </c>
      <c r="I26" s="14">
        <v>11.4707568</v>
      </c>
      <c r="J26" s="16">
        <v>1.51127773</v>
      </c>
      <c r="K26" s="14" t="s">
        <v>139</v>
      </c>
      <c r="L26" s="16" t="s">
        <v>139</v>
      </c>
      <c r="M26" s="14">
        <v>0</v>
      </c>
      <c r="N26" s="16">
        <v>0</v>
      </c>
      <c r="O26" s="14">
        <v>0</v>
      </c>
      <c r="P26" s="16">
        <v>0</v>
      </c>
      <c r="Q26" s="14">
        <v>0</v>
      </c>
      <c r="R26" s="16">
        <v>0</v>
      </c>
      <c r="S26" s="14">
        <v>0</v>
      </c>
      <c r="T26" s="16">
        <v>0</v>
      </c>
    </row>
    <row r="27" spans="1:20" x14ac:dyDescent="0.25">
      <c r="A27" s="11" t="s">
        <v>160</v>
      </c>
      <c r="B27" s="13">
        <v>2683</v>
      </c>
      <c r="C27" s="14">
        <f>(2280/B27*100)</f>
        <v>84.97950055907566</v>
      </c>
      <c r="D27" s="15">
        <v>403</v>
      </c>
      <c r="E27" s="14">
        <v>78.814645170000006</v>
      </c>
      <c r="F27" s="16">
        <v>1.9952061800000001</v>
      </c>
      <c r="G27" s="14">
        <v>7.4426055900000003</v>
      </c>
      <c r="H27" s="16">
        <v>1.1891527399999999</v>
      </c>
      <c r="I27" s="14">
        <v>13.74274924</v>
      </c>
      <c r="J27" s="16">
        <v>1.6452844</v>
      </c>
      <c r="K27" s="14" t="s">
        <v>139</v>
      </c>
      <c r="L27" s="16" t="s">
        <v>139</v>
      </c>
      <c r="M27" s="14">
        <v>0</v>
      </c>
      <c r="N27" s="16">
        <v>0</v>
      </c>
      <c r="O27" s="14">
        <v>0</v>
      </c>
      <c r="P27" s="16">
        <v>0</v>
      </c>
      <c r="Q27" s="14">
        <v>0</v>
      </c>
      <c r="R27" s="16">
        <v>0</v>
      </c>
      <c r="S27" s="14">
        <v>0</v>
      </c>
      <c r="T27" s="16">
        <v>0</v>
      </c>
    </row>
    <row r="28" spans="1:20" x14ac:dyDescent="0.25">
      <c r="A28" s="11" t="s">
        <v>161</v>
      </c>
      <c r="B28" s="13">
        <v>3803</v>
      </c>
      <c r="C28" s="14">
        <f>(3327/B28*100)</f>
        <v>87.483565606100441</v>
      </c>
      <c r="D28" s="15">
        <v>476</v>
      </c>
      <c r="E28" s="14">
        <v>90.655093539999996</v>
      </c>
      <c r="F28" s="16">
        <v>1.4911514800000001</v>
      </c>
      <c r="G28" s="14">
        <v>6.3504240899999997</v>
      </c>
      <c r="H28" s="16">
        <v>1.2805933</v>
      </c>
      <c r="I28" s="14">
        <v>2.9944823700000001</v>
      </c>
      <c r="J28" s="16">
        <v>0.76275727000000004</v>
      </c>
      <c r="K28" s="14" t="s">
        <v>139</v>
      </c>
      <c r="L28" s="16" t="s">
        <v>139</v>
      </c>
      <c r="M28" s="14">
        <v>0</v>
      </c>
      <c r="N28" s="16">
        <v>0</v>
      </c>
      <c r="O28" s="14">
        <v>0</v>
      </c>
      <c r="P28" s="16">
        <v>0</v>
      </c>
      <c r="Q28" s="14">
        <v>0</v>
      </c>
      <c r="R28" s="16">
        <v>0</v>
      </c>
      <c r="S28" s="14">
        <v>0</v>
      </c>
      <c r="T28" s="16">
        <v>0</v>
      </c>
    </row>
    <row r="29" spans="1:20" x14ac:dyDescent="0.25">
      <c r="A29" s="11" t="s">
        <v>162</v>
      </c>
      <c r="B29" s="13">
        <v>2700</v>
      </c>
      <c r="C29" s="14">
        <f>(2246/B29*100)</f>
        <v>83.18518518518519</v>
      </c>
      <c r="D29" s="15">
        <v>454</v>
      </c>
      <c r="E29" s="14">
        <v>88.165820620000005</v>
      </c>
      <c r="F29" s="16">
        <v>1.57589432</v>
      </c>
      <c r="G29" s="14">
        <v>4.4502408100000004</v>
      </c>
      <c r="H29" s="16">
        <v>1.04602387</v>
      </c>
      <c r="I29" s="14">
        <v>7.3839385699999998</v>
      </c>
      <c r="J29" s="16">
        <v>1.2284328200000001</v>
      </c>
      <c r="K29" s="14" t="s">
        <v>139</v>
      </c>
      <c r="L29" s="16" t="s">
        <v>139</v>
      </c>
      <c r="M29" s="14">
        <v>0</v>
      </c>
      <c r="N29" s="16">
        <v>0</v>
      </c>
      <c r="O29" s="14">
        <v>0</v>
      </c>
      <c r="P29" s="16">
        <v>0</v>
      </c>
      <c r="Q29" s="14">
        <v>0</v>
      </c>
      <c r="R29" s="16">
        <v>0</v>
      </c>
      <c r="S29" s="14">
        <v>0</v>
      </c>
      <c r="T29" s="16">
        <v>0</v>
      </c>
    </row>
    <row r="30" spans="1:20" x14ac:dyDescent="0.25">
      <c r="A30" s="11" t="s">
        <v>163</v>
      </c>
      <c r="B30" s="13">
        <v>2257</v>
      </c>
      <c r="C30" s="14">
        <f>(1910/B30*100)</f>
        <v>84.625609215773139</v>
      </c>
      <c r="D30" s="15">
        <v>347</v>
      </c>
      <c r="E30" s="14">
        <v>72.267850460000005</v>
      </c>
      <c r="F30" s="16">
        <v>2.6283484600000002</v>
      </c>
      <c r="G30" s="14">
        <v>8.2753944300000004</v>
      </c>
      <c r="H30" s="16">
        <v>1.3754770000000001</v>
      </c>
      <c r="I30" s="14">
        <v>19.45675511</v>
      </c>
      <c r="J30" s="16">
        <v>2.2683837200000001</v>
      </c>
      <c r="K30" s="14" t="s">
        <v>139</v>
      </c>
      <c r="L30" s="16" t="s">
        <v>139</v>
      </c>
      <c r="M30" s="14">
        <v>0</v>
      </c>
      <c r="N30" s="16">
        <v>0</v>
      </c>
      <c r="O30" s="14">
        <v>0</v>
      </c>
      <c r="P30" s="16">
        <v>0</v>
      </c>
      <c r="Q30" s="14">
        <v>0</v>
      </c>
      <c r="R30" s="16">
        <v>0</v>
      </c>
      <c r="S30" s="14">
        <v>0</v>
      </c>
      <c r="T30" s="16">
        <v>0</v>
      </c>
    </row>
    <row r="31" spans="1:20" x14ac:dyDescent="0.25">
      <c r="A31" s="11" t="s">
        <v>164</v>
      </c>
      <c r="B31" s="13">
        <v>2706</v>
      </c>
      <c r="C31" s="14">
        <f>(2273/B31*100)</f>
        <v>83.998521803399854</v>
      </c>
      <c r="D31" s="15">
        <v>433</v>
      </c>
      <c r="E31" s="14">
        <v>68.787392699999998</v>
      </c>
      <c r="F31" s="16">
        <v>2.3065991399999999</v>
      </c>
      <c r="G31" s="14">
        <v>9.5931348300000003</v>
      </c>
      <c r="H31" s="16">
        <v>1.3756540900000001</v>
      </c>
      <c r="I31" s="14">
        <v>21.619472470000002</v>
      </c>
      <c r="J31" s="16">
        <v>2.0289433400000001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(3113/B33*100)</f>
        <v>85.264311147630792</v>
      </c>
      <c r="D33" s="15">
        <v>538</v>
      </c>
      <c r="E33" s="14">
        <v>88.251872860000006</v>
      </c>
      <c r="F33" s="16">
        <v>1.65066512</v>
      </c>
      <c r="G33" s="14">
        <v>5.45256308</v>
      </c>
      <c r="H33" s="16">
        <v>1.1438069</v>
      </c>
      <c r="I33" s="14">
        <v>6.2955640600000002</v>
      </c>
      <c r="J33" s="16">
        <v>1.1660312799999999</v>
      </c>
      <c r="K33" s="14" t="s">
        <v>139</v>
      </c>
      <c r="L33" s="16" t="s">
        <v>139</v>
      </c>
      <c r="M33" s="14">
        <v>0</v>
      </c>
      <c r="N33" s="16">
        <v>0</v>
      </c>
      <c r="O33" s="14">
        <v>0</v>
      </c>
      <c r="P33" s="16">
        <v>0</v>
      </c>
      <c r="Q33" s="14">
        <v>0</v>
      </c>
      <c r="R33" s="16">
        <v>0</v>
      </c>
      <c r="S33" s="14">
        <v>0</v>
      </c>
      <c r="T33" s="16">
        <v>0</v>
      </c>
    </row>
    <row r="34" spans="1:20" x14ac:dyDescent="0.25">
      <c r="A34" s="11" t="s">
        <v>167</v>
      </c>
      <c r="B34" s="13">
        <v>3035</v>
      </c>
      <c r="C34" s="14">
        <f>(2601/B34*100)</f>
        <v>85.700164744645804</v>
      </c>
      <c r="D34" s="15">
        <v>434</v>
      </c>
      <c r="E34" s="14">
        <v>84.819633600000003</v>
      </c>
      <c r="F34" s="16">
        <v>1.9507403999999999</v>
      </c>
      <c r="G34" s="14">
        <v>8.0325359800000005</v>
      </c>
      <c r="H34" s="16">
        <v>1.39625394</v>
      </c>
      <c r="I34" s="14">
        <v>7.14783042</v>
      </c>
      <c r="J34" s="16">
        <v>1.23375232</v>
      </c>
      <c r="K34" s="14" t="s">
        <v>139</v>
      </c>
      <c r="L34" s="16" t="s">
        <v>139</v>
      </c>
      <c r="M34" s="14">
        <v>0</v>
      </c>
      <c r="N34" s="16">
        <v>0</v>
      </c>
      <c r="O34" s="14">
        <v>0</v>
      </c>
      <c r="P34" s="16">
        <v>0</v>
      </c>
      <c r="Q34" s="14">
        <v>0</v>
      </c>
      <c r="R34" s="16">
        <v>0</v>
      </c>
      <c r="S34" s="14">
        <v>0</v>
      </c>
      <c r="T34" s="16">
        <v>0</v>
      </c>
    </row>
    <row r="35" spans="1:20" x14ac:dyDescent="0.25">
      <c r="A35" s="11" t="s">
        <v>168</v>
      </c>
      <c r="B35" s="13">
        <v>2901</v>
      </c>
      <c r="C35" s="14">
        <f>(2410/B35*100)</f>
        <v>83.07480179248536</v>
      </c>
      <c r="D35" s="15">
        <v>491</v>
      </c>
      <c r="E35" s="14">
        <v>77.37729204</v>
      </c>
      <c r="F35" s="16">
        <v>2.3783867399999998</v>
      </c>
      <c r="G35" s="14">
        <v>8.2169142599999994</v>
      </c>
      <c r="H35" s="16">
        <v>1.48590424</v>
      </c>
      <c r="I35" s="14">
        <v>14.4057937</v>
      </c>
      <c r="J35" s="16">
        <v>2.00171747</v>
      </c>
      <c r="K35" s="14" t="s">
        <v>139</v>
      </c>
      <c r="L35" s="16" t="s">
        <v>139</v>
      </c>
      <c r="M35" s="14">
        <v>0</v>
      </c>
      <c r="N35" s="16">
        <v>0</v>
      </c>
      <c r="O35" s="14">
        <v>0</v>
      </c>
      <c r="P35" s="16">
        <v>0</v>
      </c>
      <c r="Q35" s="14">
        <v>0</v>
      </c>
      <c r="R35" s="16">
        <v>0</v>
      </c>
      <c r="S35" s="14">
        <v>0</v>
      </c>
      <c r="T35" s="16">
        <v>0</v>
      </c>
    </row>
    <row r="36" spans="1:20" x14ac:dyDescent="0.25">
      <c r="A36" s="11" t="s">
        <v>169</v>
      </c>
      <c r="B36" s="13">
        <v>3404</v>
      </c>
      <c r="C36" s="14">
        <f>(2894/B36*100)</f>
        <v>85.017626321974149</v>
      </c>
      <c r="D36" s="15">
        <v>510</v>
      </c>
      <c r="E36" s="14">
        <v>82.129884059999995</v>
      </c>
      <c r="F36" s="16">
        <v>1.80958558</v>
      </c>
      <c r="G36" s="14">
        <v>7.9942061300000002</v>
      </c>
      <c r="H36" s="16">
        <v>1.4635088700000001</v>
      </c>
      <c r="I36" s="14">
        <v>9.8759098099999996</v>
      </c>
      <c r="J36" s="16">
        <v>1.24488362</v>
      </c>
      <c r="K36" s="14" t="s">
        <v>139</v>
      </c>
      <c r="L36" s="16" t="s">
        <v>139</v>
      </c>
      <c r="M36" s="14">
        <v>0</v>
      </c>
      <c r="N36" s="16">
        <v>0</v>
      </c>
      <c r="O36" s="14">
        <v>0</v>
      </c>
      <c r="P36" s="16">
        <v>0</v>
      </c>
      <c r="Q36" s="14">
        <v>0</v>
      </c>
      <c r="R36" s="16">
        <v>0</v>
      </c>
      <c r="S36" s="14">
        <v>0</v>
      </c>
      <c r="T36" s="16">
        <v>0</v>
      </c>
    </row>
    <row r="37" spans="1:20" x14ac:dyDescent="0.25">
      <c r="A37" s="11" t="s">
        <v>170</v>
      </c>
      <c r="B37" s="13">
        <v>2731</v>
      </c>
      <c r="C37" s="14">
        <f>(2339/B37*100)</f>
        <v>85.646283412669362</v>
      </c>
      <c r="D37" s="15">
        <v>392</v>
      </c>
      <c r="E37" s="14">
        <v>70.604911060000006</v>
      </c>
      <c r="F37" s="16">
        <v>2.2048122399999999</v>
      </c>
      <c r="G37" s="14">
        <v>9.9940015899999999</v>
      </c>
      <c r="H37" s="16">
        <v>1.60599826</v>
      </c>
      <c r="I37" s="14">
        <v>19.401087350000001</v>
      </c>
      <c r="J37" s="16">
        <v>2.1959489699999999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(2416/B39*100)</f>
        <v>82.232811436351255</v>
      </c>
      <c r="D39" s="15">
        <v>522</v>
      </c>
      <c r="E39" s="14">
        <v>94.340521879999997</v>
      </c>
      <c r="F39" s="16">
        <v>1.0006440999999999</v>
      </c>
      <c r="G39" s="14">
        <v>3.4062070599999998</v>
      </c>
      <c r="H39" s="16">
        <v>0.69981490000000002</v>
      </c>
      <c r="I39" s="14">
        <v>2.2532710599999999</v>
      </c>
      <c r="J39" s="16">
        <v>0.72730998000000002</v>
      </c>
      <c r="K39" s="14" t="s">
        <v>139</v>
      </c>
      <c r="L39" s="16" t="s">
        <v>139</v>
      </c>
      <c r="M39" s="14">
        <v>0</v>
      </c>
      <c r="N39" s="16">
        <v>0</v>
      </c>
      <c r="O39" s="14">
        <v>0</v>
      </c>
      <c r="P39" s="16">
        <v>0</v>
      </c>
      <c r="Q39" s="14">
        <v>0</v>
      </c>
      <c r="R39" s="16">
        <v>0</v>
      </c>
      <c r="S39" s="14">
        <v>0</v>
      </c>
      <c r="T39" s="16">
        <v>0</v>
      </c>
    </row>
    <row r="40" spans="1:20" x14ac:dyDescent="0.25">
      <c r="A40" s="11" t="s">
        <v>173</v>
      </c>
      <c r="B40" s="13">
        <v>6922</v>
      </c>
      <c r="C40" s="14">
        <f>(5707/B40*100)</f>
        <v>82.447269575267271</v>
      </c>
      <c r="D40" s="15">
        <v>1215</v>
      </c>
      <c r="E40" s="14">
        <v>76.494469800000005</v>
      </c>
      <c r="F40" s="16">
        <v>1.77406259</v>
      </c>
      <c r="G40" s="14">
        <v>8.3899568099999993</v>
      </c>
      <c r="H40" s="16">
        <v>1.1613147699999999</v>
      </c>
      <c r="I40" s="14">
        <v>15.11557339</v>
      </c>
      <c r="J40" s="16">
        <v>1.42396663</v>
      </c>
      <c r="K40" s="14" t="s">
        <v>139</v>
      </c>
      <c r="L40" s="16" t="s">
        <v>139</v>
      </c>
      <c r="M40" s="14">
        <v>0</v>
      </c>
      <c r="N40" s="16">
        <v>0</v>
      </c>
      <c r="O40" s="14">
        <v>0</v>
      </c>
      <c r="P40" s="16">
        <v>0</v>
      </c>
      <c r="Q40" s="14">
        <v>0</v>
      </c>
      <c r="R40" s="16">
        <v>0</v>
      </c>
      <c r="S40" s="14">
        <v>0</v>
      </c>
      <c r="T40" s="16">
        <v>0</v>
      </c>
    </row>
    <row r="41" spans="1:20" x14ac:dyDescent="0.25">
      <c r="A41" s="11" t="s">
        <v>174</v>
      </c>
      <c r="B41" s="13">
        <v>2854</v>
      </c>
      <c r="C41" s="14">
        <f>(2408/B41*100)</f>
        <v>84.37281009110022</v>
      </c>
      <c r="D41" s="15">
        <v>446</v>
      </c>
      <c r="E41" s="14">
        <v>76.016559650000005</v>
      </c>
      <c r="F41" s="16">
        <v>2.2334138499999998</v>
      </c>
      <c r="G41" s="14">
        <v>6.1060695300000001</v>
      </c>
      <c r="H41" s="16">
        <v>0.98868493999999996</v>
      </c>
      <c r="I41" s="14">
        <v>17.877370819999999</v>
      </c>
      <c r="J41" s="16">
        <v>2.0395662699999999</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84.303307253358753</v>
      </c>
      <c r="D42" s="15">
        <f>IF(COUNT(D7:D41) &gt; 0, AVERAGE(D7:D41), "—")</f>
        <v>569.71875</v>
      </c>
      <c r="E42" s="14">
        <f>IF(COUNT(E7:E41) &gt; 0, AVERAGE(E7:E41), "—")</f>
        <v>79.882820568750006</v>
      </c>
      <c r="F42" s="16">
        <f>IF(COUNT(F7:F41) &gt; 0, SQRT(SUMSQ(F7:F41)/(COUNT(F7:F41)*COUNT(F7:F41)) ), "—")</f>
        <v>0.33957580494540851</v>
      </c>
      <c r="G42" s="14">
        <f>IF(COUNT(G7:G41) &gt; 0, AVERAGE(G7:G41), "—")</f>
        <v>6.8037564475000014</v>
      </c>
      <c r="H42" s="16">
        <f>IF(COUNT(H7:H41) &gt; 0, SQRT(SUMSQ(H7:H41)/(COUNT(H7:H41)*COUNT(H7:H41)) ), "—")</f>
        <v>0.21242119573846349</v>
      </c>
      <c r="I42" s="14">
        <f>IF(COUNT(I7:I41) &gt; 0, AVERAGE(I7:I41), "—")</f>
        <v>13.313422984062504</v>
      </c>
      <c r="J42" s="16">
        <f>IF(COUNT(J7:J41) &gt; 0, SQRT(SUMSQ(J7:J41)/(COUNT(J7:J41)*COUNT(J7:J41)) ), "—")</f>
        <v>0.28781443355850717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(10851/B46*100)</f>
        <v>89.878240702393768</v>
      </c>
      <c r="D46" s="15">
        <v>1222</v>
      </c>
      <c r="E46" s="14">
        <v>93.162960740000003</v>
      </c>
      <c r="F46" s="16">
        <v>0.88897278000000002</v>
      </c>
      <c r="G46" s="14">
        <v>3.4475597599999999</v>
      </c>
      <c r="H46" s="16">
        <v>0.66992766000000004</v>
      </c>
      <c r="I46" s="14">
        <v>3.3894795000000002</v>
      </c>
      <c r="J46" s="16">
        <v>0.69974451999999998</v>
      </c>
      <c r="K46" s="14" t="s">
        <v>139</v>
      </c>
      <c r="L46" s="16" t="s">
        <v>139</v>
      </c>
      <c r="M46" s="14">
        <v>0</v>
      </c>
      <c r="N46" s="16">
        <v>0</v>
      </c>
      <c r="O46" s="14">
        <v>0</v>
      </c>
      <c r="P46" s="16">
        <v>0</v>
      </c>
      <c r="Q46" s="14">
        <v>0</v>
      </c>
      <c r="R46" s="16">
        <v>0</v>
      </c>
      <c r="S46" s="14">
        <v>0</v>
      </c>
      <c r="T46" s="16">
        <v>0</v>
      </c>
    </row>
    <row r="47" spans="1:20" x14ac:dyDescent="0.25">
      <c r="A47" s="11" t="s">
        <v>180</v>
      </c>
      <c r="B47" s="13">
        <v>2823</v>
      </c>
      <c r="C47" s="14">
        <f>(2411/B47*100)</f>
        <v>85.405596882748853</v>
      </c>
      <c r="D47" s="15">
        <v>412</v>
      </c>
      <c r="E47" s="14">
        <v>90.167756549999993</v>
      </c>
      <c r="F47" s="16">
        <v>1.40654765</v>
      </c>
      <c r="G47" s="14">
        <v>3.9836578500000002</v>
      </c>
      <c r="H47" s="16">
        <v>1.08269528</v>
      </c>
      <c r="I47" s="14">
        <v>5.8485856099999998</v>
      </c>
      <c r="J47" s="16">
        <v>1.29007037</v>
      </c>
      <c r="K47" s="14" t="s">
        <v>139</v>
      </c>
      <c r="L47" s="16" t="s">
        <v>139</v>
      </c>
      <c r="M47" s="14">
        <v>0</v>
      </c>
      <c r="N47" s="16">
        <v>0</v>
      </c>
      <c r="O47" s="14">
        <v>0</v>
      </c>
      <c r="P47" s="16">
        <v>0</v>
      </c>
      <c r="Q47" s="14">
        <v>0</v>
      </c>
      <c r="R47" s="16">
        <v>0</v>
      </c>
      <c r="S47" s="14">
        <v>0</v>
      </c>
      <c r="T47" s="16">
        <v>0</v>
      </c>
    </row>
    <row r="48" spans="1:20" x14ac:dyDescent="0.25">
      <c r="A48" s="11" t="s">
        <v>181</v>
      </c>
      <c r="B48" s="13">
        <v>4682</v>
      </c>
      <c r="C48" s="14">
        <f>(3877/B48*100)</f>
        <v>82.806492951730021</v>
      </c>
      <c r="D48" s="15">
        <v>805</v>
      </c>
      <c r="E48" s="14">
        <v>78.054923729999999</v>
      </c>
      <c r="F48" s="16">
        <v>2.16630273</v>
      </c>
      <c r="G48" s="14">
        <v>7.62860534</v>
      </c>
      <c r="H48" s="16">
        <v>1.2378304899999999</v>
      </c>
      <c r="I48" s="14">
        <v>14.316470929999999</v>
      </c>
      <c r="J48" s="16">
        <v>2.03539029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(5260/B50*100)</f>
        <v>85.417343293277042</v>
      </c>
      <c r="D50" s="15">
        <v>898</v>
      </c>
      <c r="E50" s="14">
        <v>93.96293867</v>
      </c>
      <c r="F50" s="16">
        <v>1.0441080300000001</v>
      </c>
      <c r="G50" s="14">
        <v>3.2734306499999999</v>
      </c>
      <c r="H50" s="16">
        <v>0.75949712999999996</v>
      </c>
      <c r="I50" s="14">
        <v>2.76363067</v>
      </c>
      <c r="J50" s="16">
        <v>0.65857441000000005</v>
      </c>
      <c r="K50" s="14" t="s">
        <v>139</v>
      </c>
      <c r="L50" s="16" t="s">
        <v>139</v>
      </c>
      <c r="M50" s="14">
        <v>0</v>
      </c>
      <c r="N50" s="16">
        <v>0</v>
      </c>
      <c r="O50" s="14">
        <v>0</v>
      </c>
      <c r="P50" s="16">
        <v>0</v>
      </c>
      <c r="Q50" s="14">
        <v>0</v>
      </c>
      <c r="R50" s="16">
        <v>0</v>
      </c>
      <c r="S50" s="14">
        <v>0</v>
      </c>
      <c r="T50" s="16">
        <v>0</v>
      </c>
    </row>
    <row r="51" spans="1:20" x14ac:dyDescent="0.25">
      <c r="A51" s="11" t="s">
        <v>184</v>
      </c>
      <c r="B51" s="13">
        <v>3494</v>
      </c>
      <c r="C51" s="14">
        <f>(3053/B51*100)</f>
        <v>87.378362907842018</v>
      </c>
      <c r="D51" s="15">
        <v>441</v>
      </c>
      <c r="E51" s="14">
        <v>93.102809930000006</v>
      </c>
      <c r="F51" s="16">
        <v>1.31529118</v>
      </c>
      <c r="G51" s="14">
        <v>2.0776442799999999</v>
      </c>
      <c r="H51" s="16">
        <v>0.74686346000000003</v>
      </c>
      <c r="I51" s="14">
        <v>4.8195457800000003</v>
      </c>
      <c r="J51" s="16">
        <v>1.1474686300000001</v>
      </c>
      <c r="K51" s="14" t="s">
        <v>139</v>
      </c>
      <c r="L51" s="16" t="s">
        <v>139</v>
      </c>
      <c r="M51" s="14">
        <v>0</v>
      </c>
      <c r="N51" s="16">
        <v>0</v>
      </c>
      <c r="O51" s="14">
        <v>0</v>
      </c>
      <c r="P51" s="16">
        <v>0</v>
      </c>
      <c r="Q51" s="14">
        <v>0</v>
      </c>
      <c r="R51" s="16">
        <v>0</v>
      </c>
      <c r="S51" s="14">
        <v>0</v>
      </c>
      <c r="T51" s="16">
        <v>0</v>
      </c>
    </row>
    <row r="52" spans="1:20" x14ac:dyDescent="0.25">
      <c r="A52" s="11" t="s">
        <v>185</v>
      </c>
      <c r="B52" s="13">
        <v>3013</v>
      </c>
      <c r="C52" s="14">
        <f>(2522/B52*100)</f>
        <v>83.703949551941577</v>
      </c>
      <c r="D52" s="15">
        <v>491</v>
      </c>
      <c r="E52" s="14">
        <v>83.923568650000007</v>
      </c>
      <c r="F52" s="16">
        <v>1.82811422</v>
      </c>
      <c r="G52" s="14">
        <v>7.46801022</v>
      </c>
      <c r="H52" s="16">
        <v>1.3313697600000001</v>
      </c>
      <c r="I52" s="14">
        <v>8.60842113</v>
      </c>
      <c r="J52" s="16">
        <v>1.27085022</v>
      </c>
      <c r="K52" s="14" t="s">
        <v>139</v>
      </c>
      <c r="L52" s="16" t="s">
        <v>139</v>
      </c>
      <c r="M52" s="14">
        <v>0</v>
      </c>
      <c r="N52" s="16">
        <v>0</v>
      </c>
      <c r="O52" s="14">
        <v>0</v>
      </c>
      <c r="P52" s="16">
        <v>0</v>
      </c>
      <c r="Q52" s="14">
        <v>0</v>
      </c>
      <c r="R52" s="16">
        <v>0</v>
      </c>
      <c r="S52" s="14">
        <v>0</v>
      </c>
      <c r="T52" s="16">
        <v>0</v>
      </c>
    </row>
    <row r="53" spans="1:20" x14ac:dyDescent="0.25">
      <c r="A53" s="11" t="s">
        <v>186</v>
      </c>
      <c r="B53" s="13">
        <v>2760</v>
      </c>
      <c r="C53" s="14">
        <f>(2311/B53*100)</f>
        <v>83.731884057971016</v>
      </c>
      <c r="D53" s="15">
        <v>449</v>
      </c>
      <c r="E53" s="14">
        <v>88.763750520000002</v>
      </c>
      <c r="F53" s="16">
        <v>1.5054700400000001</v>
      </c>
      <c r="G53" s="14">
        <v>5.0300066599999997</v>
      </c>
      <c r="H53" s="16">
        <v>0.96674322999999995</v>
      </c>
      <c r="I53" s="14">
        <v>6.20624281</v>
      </c>
      <c r="J53" s="16">
        <v>1.2656661600000001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(2211/B56*100)</f>
        <v>82.654205607476641</v>
      </c>
      <c r="D56" s="15">
        <v>464</v>
      </c>
      <c r="E56" s="14">
        <v>72.693099939999996</v>
      </c>
      <c r="F56" s="16">
        <v>2.1962926399999998</v>
      </c>
      <c r="G56" s="14">
        <v>7.5472412499999999</v>
      </c>
      <c r="H56" s="16">
        <v>1.2443952700000001</v>
      </c>
      <c r="I56" s="14">
        <v>19.759658810000001</v>
      </c>
      <c r="J56" s="16">
        <v>1.9596576699999999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(2683/B61*100)</f>
        <v>83.817557013433301</v>
      </c>
      <c r="D61" s="15">
        <v>518</v>
      </c>
      <c r="E61" s="14">
        <v>84.900030459999996</v>
      </c>
      <c r="F61" s="16">
        <v>1.8201441300000001</v>
      </c>
      <c r="G61" s="14">
        <v>4.1108097800000003</v>
      </c>
      <c r="H61" s="16">
        <v>1.01766717</v>
      </c>
      <c r="I61" s="14">
        <v>10.98915976</v>
      </c>
      <c r="J61" s="16">
        <v>1.75983976</v>
      </c>
      <c r="K61" s="14" t="s">
        <v>139</v>
      </c>
      <c r="L61" s="16" t="s">
        <v>139</v>
      </c>
      <c r="M61" s="14">
        <v>0</v>
      </c>
      <c r="N61" s="16">
        <v>0</v>
      </c>
      <c r="O61" s="14">
        <v>0</v>
      </c>
      <c r="P61" s="16">
        <v>0</v>
      </c>
      <c r="Q61" s="14">
        <v>0</v>
      </c>
      <c r="R61" s="16">
        <v>0</v>
      </c>
      <c r="S61" s="14">
        <v>0</v>
      </c>
      <c r="T61" s="16">
        <v>0</v>
      </c>
    </row>
    <row r="62" spans="1:20" x14ac:dyDescent="0.25">
      <c r="A62" s="11" t="s">
        <v>195</v>
      </c>
      <c r="B62" s="13">
        <v>2230</v>
      </c>
      <c r="C62" s="14">
        <f>(1862/B62*100)</f>
        <v>83.49775784753362</v>
      </c>
      <c r="D62" s="15">
        <v>368</v>
      </c>
      <c r="E62" s="14">
        <v>74.681786880000004</v>
      </c>
      <c r="F62" s="16">
        <v>2.1716840899999998</v>
      </c>
      <c r="G62" s="14">
        <v>7.5963685400000003</v>
      </c>
      <c r="H62" s="16">
        <v>1.19858051</v>
      </c>
      <c r="I62" s="14">
        <v>17.721844579999999</v>
      </c>
      <c r="J62" s="16">
        <v>1.99078757</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(2350/B66*100)</f>
        <v>84.806928906531937</v>
      </c>
      <c r="D66" s="15">
        <v>421</v>
      </c>
      <c r="E66" s="14">
        <v>91.398048829999993</v>
      </c>
      <c r="F66" s="16">
        <v>1.2476786499999999</v>
      </c>
      <c r="G66" s="14">
        <v>2.8753194899999999</v>
      </c>
      <c r="H66" s="16">
        <v>0.92254451999999998</v>
      </c>
      <c r="I66" s="14">
        <v>5.7266316899999996</v>
      </c>
      <c r="J66" s="16">
        <v>1.28496546</v>
      </c>
      <c r="K66" s="14" t="s">
        <v>139</v>
      </c>
      <c r="L66" s="16" t="s">
        <v>139</v>
      </c>
      <c r="M66" s="14">
        <v>0</v>
      </c>
      <c r="N66" s="16">
        <v>0</v>
      </c>
      <c r="O66" s="14">
        <v>0</v>
      </c>
      <c r="P66" s="16">
        <v>0</v>
      </c>
      <c r="Q66" s="14">
        <v>0</v>
      </c>
      <c r="R66" s="16">
        <v>0</v>
      </c>
      <c r="S66" s="14">
        <v>0</v>
      </c>
      <c r="T66" s="16">
        <v>0</v>
      </c>
    </row>
    <row r="67" spans="1:20" x14ac:dyDescent="0.25">
      <c r="A67" s="11" t="s">
        <v>200</v>
      </c>
      <c r="B67" s="13">
        <v>3460</v>
      </c>
      <c r="C67" s="14">
        <f>(3046/B67*100)</f>
        <v>88.034682080924853</v>
      </c>
      <c r="D67" s="15">
        <v>414</v>
      </c>
      <c r="E67" s="14">
        <v>92.333682929999995</v>
      </c>
      <c r="F67" s="16">
        <v>1.3028885800000001</v>
      </c>
      <c r="G67" s="14">
        <v>4.3593227299999997</v>
      </c>
      <c r="H67" s="16">
        <v>1.02732431</v>
      </c>
      <c r="I67" s="14">
        <v>3.3069943300000002</v>
      </c>
      <c r="J67" s="16">
        <v>0.82351538000000002</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(2633/B70*100)</f>
        <v>84.744126166720307</v>
      </c>
      <c r="D70" s="15">
        <v>474</v>
      </c>
      <c r="E70" s="14">
        <v>75.214050099999994</v>
      </c>
      <c r="F70" s="16">
        <v>2.2876251500000002</v>
      </c>
      <c r="G70" s="14">
        <v>10.066596150000001</v>
      </c>
      <c r="H70" s="16">
        <v>1.5679894400000001</v>
      </c>
      <c r="I70" s="14">
        <v>14.71935375</v>
      </c>
      <c r="J70" s="16">
        <v>2.1251688999999998</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(3171/B72*100)</f>
        <v>83.032207384131979</v>
      </c>
      <c r="D72" s="15">
        <v>648</v>
      </c>
      <c r="E72" s="14">
        <v>75.899412679999998</v>
      </c>
      <c r="F72" s="16">
        <v>1.7185198800000001</v>
      </c>
      <c r="G72" s="14">
        <v>8.6955785199999998</v>
      </c>
      <c r="H72" s="16">
        <v>1.00082318</v>
      </c>
      <c r="I72" s="14">
        <v>15.405008799999999</v>
      </c>
      <c r="J72" s="16">
        <v>1.7157546299999999</v>
      </c>
      <c r="K72" s="14" t="s">
        <v>139</v>
      </c>
      <c r="L72" s="16" t="s">
        <v>139</v>
      </c>
      <c r="M72" s="14">
        <v>0</v>
      </c>
      <c r="N72" s="16">
        <v>0</v>
      </c>
      <c r="O72" s="14">
        <v>0</v>
      </c>
      <c r="P72" s="16">
        <v>0</v>
      </c>
      <c r="Q72" s="14">
        <v>0</v>
      </c>
      <c r="R72" s="16">
        <v>0</v>
      </c>
      <c r="S72" s="14">
        <v>0</v>
      </c>
      <c r="T72" s="16">
        <v>0</v>
      </c>
    </row>
    <row r="73" spans="1:20" x14ac:dyDescent="0.25">
      <c r="A73" s="11" t="s">
        <v>206</v>
      </c>
      <c r="B73" s="13">
        <v>4652</v>
      </c>
      <c r="C73" s="14">
        <f>(4007/B73*100)</f>
        <v>86.134995700773871</v>
      </c>
      <c r="D73" s="15">
        <v>645</v>
      </c>
      <c r="E73" s="14">
        <v>85.917591200000004</v>
      </c>
      <c r="F73" s="16">
        <v>1.4676916799999999</v>
      </c>
      <c r="G73" s="14">
        <v>5.1874455800000003</v>
      </c>
      <c r="H73" s="16">
        <v>0.73811408999999994</v>
      </c>
      <c r="I73" s="14">
        <v>8.8949632300000001</v>
      </c>
      <c r="J73" s="16">
        <v>1.2266523</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(2538/B75*100)</f>
        <v>85.483327719770969</v>
      </c>
      <c r="D75" s="15">
        <v>431</v>
      </c>
      <c r="E75" s="14">
        <v>96.010178010000004</v>
      </c>
      <c r="F75" s="16">
        <v>1.13536332</v>
      </c>
      <c r="G75" s="14">
        <v>2.10474994</v>
      </c>
      <c r="H75" s="16">
        <v>0.69867014999999999</v>
      </c>
      <c r="I75" s="14">
        <v>1.8850720400000001</v>
      </c>
      <c r="J75" s="16">
        <v>0.81587164000000001</v>
      </c>
      <c r="K75" s="14" t="s">
        <v>139</v>
      </c>
      <c r="L75" s="16" t="s">
        <v>139</v>
      </c>
      <c r="M75" s="14">
        <v>0</v>
      </c>
      <c r="N75" s="16">
        <v>0</v>
      </c>
      <c r="O75" s="14">
        <v>0</v>
      </c>
      <c r="P75" s="16">
        <v>0</v>
      </c>
      <c r="Q75" s="14">
        <v>0</v>
      </c>
      <c r="R75" s="16">
        <v>0</v>
      </c>
      <c r="S75" s="14">
        <v>0</v>
      </c>
      <c r="T75" s="16">
        <v>0</v>
      </c>
    </row>
    <row r="76" spans="1:20" x14ac:dyDescent="0.25">
      <c r="A76" s="11" t="s">
        <v>209</v>
      </c>
      <c r="B76" s="13">
        <v>7115</v>
      </c>
      <c r="C76" s="14">
        <f>(5931/B76*100)</f>
        <v>83.359100491918483</v>
      </c>
      <c r="D76" s="15">
        <v>1184</v>
      </c>
      <c r="E76" s="14">
        <v>86.372981010000004</v>
      </c>
      <c r="F76" s="16">
        <v>1.56483408</v>
      </c>
      <c r="G76" s="14">
        <v>4.62358183</v>
      </c>
      <c r="H76" s="16">
        <v>0.86505679999999996</v>
      </c>
      <c r="I76" s="14">
        <v>9.0034371600000007</v>
      </c>
      <c r="J76" s="16">
        <v>1.07860398</v>
      </c>
      <c r="K76" s="14" t="s">
        <v>139</v>
      </c>
      <c r="L76" s="16" t="s">
        <v>139</v>
      </c>
      <c r="M76" s="14">
        <v>0</v>
      </c>
      <c r="N76" s="16">
        <v>0</v>
      </c>
      <c r="O76" s="14">
        <v>0</v>
      </c>
      <c r="P76" s="16">
        <v>0</v>
      </c>
      <c r="Q76" s="14">
        <v>0</v>
      </c>
      <c r="R76" s="16">
        <v>0</v>
      </c>
      <c r="S76" s="14">
        <v>0</v>
      </c>
      <c r="T76" s="16">
        <v>0</v>
      </c>
    </row>
    <row r="77" spans="1:20" x14ac:dyDescent="0.25">
      <c r="A77" s="11" t="s">
        <v>210</v>
      </c>
      <c r="B77" s="13">
        <v>3154</v>
      </c>
      <c r="C77" s="14">
        <f>(2692/B77*100)</f>
        <v>85.351934051997475</v>
      </c>
      <c r="D77" s="15">
        <v>462</v>
      </c>
      <c r="E77" s="14">
        <v>89.563872989999993</v>
      </c>
      <c r="F77" s="16">
        <v>1.66163481</v>
      </c>
      <c r="G77" s="14">
        <v>6.44860159</v>
      </c>
      <c r="H77" s="16">
        <v>1.2996618600000001</v>
      </c>
      <c r="I77" s="14">
        <v>3.9875254199999999</v>
      </c>
      <c r="J77" s="16">
        <v>0.97034354</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(3923/B81*100)</f>
        <v>83.503618561089823</v>
      </c>
      <c r="D81" s="15">
        <v>775</v>
      </c>
      <c r="E81" s="14">
        <v>87.525879790000005</v>
      </c>
      <c r="F81" s="16">
        <v>1.34600396</v>
      </c>
      <c r="G81" s="14">
        <v>6.6252677000000002</v>
      </c>
      <c r="H81" s="16">
        <v>1.06822923</v>
      </c>
      <c r="I81" s="14">
        <v>5.8488525100000004</v>
      </c>
      <c r="J81" s="16">
        <v>1.01145193</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(5949/B7*100)</f>
        <v>83.051793941086132</v>
      </c>
      <c r="D7" s="15">
        <v>1214</v>
      </c>
      <c r="E7" s="14">
        <v>37.637738280000001</v>
      </c>
      <c r="F7" s="16">
        <v>1.84801104</v>
      </c>
      <c r="G7" s="14">
        <v>62.362261719999999</v>
      </c>
      <c r="H7" s="16">
        <v>1.84801104</v>
      </c>
      <c r="I7" s="14" t="s">
        <v>139</v>
      </c>
      <c r="J7" s="16" t="s">
        <v>139</v>
      </c>
      <c r="K7" s="14">
        <v>0</v>
      </c>
      <c r="L7" s="16">
        <v>0</v>
      </c>
      <c r="M7" s="14">
        <v>0</v>
      </c>
      <c r="N7" s="16">
        <v>0</v>
      </c>
      <c r="O7" s="14">
        <v>0</v>
      </c>
      <c r="P7" s="16">
        <v>0</v>
      </c>
      <c r="Q7" s="14">
        <v>0</v>
      </c>
      <c r="R7" s="16">
        <v>0</v>
      </c>
    </row>
    <row r="8" spans="1:18" x14ac:dyDescent="0.25">
      <c r="A8" s="11" t="s">
        <v>140</v>
      </c>
      <c r="B8" s="13">
        <v>3443</v>
      </c>
      <c r="C8" s="14">
        <f>(2859/B8*100)</f>
        <v>83.03804821376707</v>
      </c>
      <c r="D8" s="15">
        <v>584</v>
      </c>
      <c r="E8" s="14">
        <v>57.217517899999997</v>
      </c>
      <c r="F8" s="16">
        <v>1.7139698299999999</v>
      </c>
      <c r="G8" s="14">
        <v>42.782482100000003</v>
      </c>
      <c r="H8" s="16">
        <v>1.7139698299999999</v>
      </c>
      <c r="I8" s="14" t="s">
        <v>139</v>
      </c>
      <c r="J8" s="16" t="s">
        <v>139</v>
      </c>
      <c r="K8" s="14">
        <v>0</v>
      </c>
      <c r="L8" s="16">
        <v>0</v>
      </c>
      <c r="M8" s="14">
        <v>0</v>
      </c>
      <c r="N8" s="16">
        <v>0</v>
      </c>
      <c r="O8" s="14">
        <v>0</v>
      </c>
      <c r="P8" s="16">
        <v>0</v>
      </c>
      <c r="Q8" s="14">
        <v>0</v>
      </c>
      <c r="R8" s="16">
        <v>0</v>
      </c>
    </row>
    <row r="9" spans="1:18" x14ac:dyDescent="0.25">
      <c r="A9" s="11" t="s">
        <v>141</v>
      </c>
      <c r="B9" s="13">
        <v>4752</v>
      </c>
      <c r="C9" s="14">
        <f>(3943/B9*100)</f>
        <v>82.975589225589232</v>
      </c>
      <c r="D9" s="15">
        <v>809</v>
      </c>
      <c r="E9" s="14">
        <v>50.889689279999999</v>
      </c>
      <c r="F9" s="16">
        <v>2.0596508600000001</v>
      </c>
      <c r="G9" s="14">
        <v>49.110310720000001</v>
      </c>
      <c r="H9" s="16">
        <v>2.0596508600000001</v>
      </c>
      <c r="I9" s="14" t="s">
        <v>139</v>
      </c>
      <c r="J9" s="16" t="s">
        <v>139</v>
      </c>
      <c r="K9" s="14">
        <v>0</v>
      </c>
      <c r="L9" s="16">
        <v>0</v>
      </c>
      <c r="M9" s="14">
        <v>0</v>
      </c>
      <c r="N9" s="16">
        <v>0</v>
      </c>
      <c r="O9" s="14">
        <v>0</v>
      </c>
      <c r="P9" s="16">
        <v>0</v>
      </c>
      <c r="Q9" s="14">
        <v>0</v>
      </c>
      <c r="R9" s="16">
        <v>0</v>
      </c>
    </row>
    <row r="10" spans="1:18" x14ac:dyDescent="0.25">
      <c r="A10" s="11" t="s">
        <v>142</v>
      </c>
      <c r="B10" s="13">
        <v>10022</v>
      </c>
      <c r="C10" s="14">
        <f>(8307/B10*100)</f>
        <v>82.887647176212326</v>
      </c>
      <c r="D10" s="15">
        <v>1715</v>
      </c>
      <c r="E10" s="14">
        <v>38.424283490000001</v>
      </c>
      <c r="F10" s="16">
        <v>1.33576377</v>
      </c>
      <c r="G10" s="14">
        <v>61.575716509999999</v>
      </c>
      <c r="H10" s="16">
        <v>1.33576377</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(2913/B11*100)</f>
        <v>83.228571428571428</v>
      </c>
      <c r="D11" s="15">
        <v>587</v>
      </c>
      <c r="E11" s="14">
        <v>53.106416289999999</v>
      </c>
      <c r="F11" s="16">
        <v>2.87068425</v>
      </c>
      <c r="G11" s="14">
        <v>46.893583710000001</v>
      </c>
      <c r="H11" s="16">
        <v>2.87068425</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(2824/B12*100)</f>
        <v>82.524839275277614</v>
      </c>
      <c r="D12" s="15">
        <v>598</v>
      </c>
      <c r="E12" s="14">
        <v>44.568084480000003</v>
      </c>
      <c r="F12" s="16">
        <v>2.5699220199999999</v>
      </c>
      <c r="G12" s="14">
        <v>55.431915519999997</v>
      </c>
      <c r="H12" s="16">
        <v>2.5699220199999999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(3001/B13*100)</f>
        <v>83.314825097168239</v>
      </c>
      <c r="D13" s="15">
        <v>601</v>
      </c>
      <c r="E13" s="14">
        <v>49.759414159999999</v>
      </c>
      <c r="F13" s="16">
        <v>2.5049646499999998</v>
      </c>
      <c r="G13" s="14">
        <v>50.240585840000001</v>
      </c>
      <c r="H13" s="16">
        <v>2.5049646499999998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40.428589899999999</v>
      </c>
      <c r="F14" s="16">
        <v>2.4520827999999999</v>
      </c>
      <c r="G14" s="14">
        <v>59.571410100000001</v>
      </c>
      <c r="H14" s="16">
        <v>2.4520827999999999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(2369/B15*100)</f>
        <v>82.74537198742577</v>
      </c>
      <c r="D15" s="15">
        <v>494</v>
      </c>
      <c r="E15" s="14">
        <v>39.975512289999998</v>
      </c>
      <c r="F15" s="16">
        <v>1.9085700699999999</v>
      </c>
      <c r="G15" s="14">
        <v>60.024487710000002</v>
      </c>
      <c r="H15" s="16">
        <v>1.9085700699999999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(2562/B16*100)</f>
        <v>82.35294117647058</v>
      </c>
      <c r="D16" s="15">
        <v>549</v>
      </c>
      <c r="E16" s="14">
        <v>48.523007370000002</v>
      </c>
      <c r="F16" s="16">
        <v>2.2032746400000001</v>
      </c>
      <c r="G16" s="14">
        <v>51.476992629999998</v>
      </c>
      <c r="H16" s="16">
        <v>2.2032746400000001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(2642/B17*100)</f>
        <v>82.639974976540515</v>
      </c>
      <c r="D17" s="15">
        <v>555</v>
      </c>
      <c r="E17" s="14">
        <v>53.217890439999998</v>
      </c>
      <c r="F17" s="16">
        <v>2.2190456900000002</v>
      </c>
      <c r="G17" s="14">
        <v>46.782109560000002</v>
      </c>
      <c r="H17" s="16">
        <v>2.2190456900000002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(2279/B18*100)</f>
        <v>84.220251293422024</v>
      </c>
      <c r="D18" s="15">
        <v>427</v>
      </c>
      <c r="E18" s="14">
        <v>55.315564469999998</v>
      </c>
      <c r="F18" s="16">
        <v>2.8654726699999999</v>
      </c>
      <c r="G18" s="14">
        <v>44.684435530000002</v>
      </c>
      <c r="H18" s="16">
        <v>2.8654726699999999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(2359/B19*100)</f>
        <v>82.771929824561411</v>
      </c>
      <c r="D19" s="15">
        <v>491</v>
      </c>
      <c r="E19" s="14">
        <v>40.823880180000003</v>
      </c>
      <c r="F19" s="16">
        <v>2.2425080199999998</v>
      </c>
      <c r="G19" s="14">
        <v>59.176119819999997</v>
      </c>
      <c r="H19" s="16">
        <v>2.2425080199999998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(1451/B20*100)</f>
        <v>83.34290637564618</v>
      </c>
      <c r="D20" s="15">
        <v>290</v>
      </c>
      <c r="E20" s="14">
        <v>55.1107497</v>
      </c>
      <c r="F20" s="16">
        <v>2.9490741599999999</v>
      </c>
      <c r="G20" s="14">
        <v>44.8892503</v>
      </c>
      <c r="H20" s="16">
        <v>2.9490741599999999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(3114/B22*100)</f>
        <v>84.919552767930185</v>
      </c>
      <c r="D22" s="15">
        <v>553</v>
      </c>
      <c r="E22" s="14">
        <v>51.293868680000003</v>
      </c>
      <c r="F22" s="16">
        <v>2.3482828699999998</v>
      </c>
      <c r="G22" s="14">
        <v>48.706131319999997</v>
      </c>
      <c r="H22" s="16">
        <v>2.3482828699999998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(4806/B23*100)</f>
        <v>82.976519337016569</v>
      </c>
      <c r="D23" s="15">
        <v>986</v>
      </c>
      <c r="E23" s="14">
        <v>46.811604690000003</v>
      </c>
      <c r="F23" s="16">
        <v>2.8087057</v>
      </c>
      <c r="G23" s="14">
        <v>53.188395309999997</v>
      </c>
      <c r="H23" s="16">
        <v>2.8087057</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(2712/B24*100)</f>
        <v>81.958295557570267</v>
      </c>
      <c r="D24" s="15">
        <v>597</v>
      </c>
      <c r="E24" s="14">
        <v>48.817453389999997</v>
      </c>
      <c r="F24" s="16">
        <v>1.73613017</v>
      </c>
      <c r="G24" s="14">
        <v>51.182546610000003</v>
      </c>
      <c r="H24" s="16">
        <v>1.73613017</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(2201/B25*100)</f>
        <v>82.465342825028102</v>
      </c>
      <c r="D25" s="15">
        <v>468</v>
      </c>
      <c r="E25" s="14">
        <v>42.633073570000001</v>
      </c>
      <c r="F25" s="16">
        <v>2.0265821000000002</v>
      </c>
      <c r="G25" s="14">
        <v>57.366926429999999</v>
      </c>
      <c r="H25" s="16">
        <v>2.0265821000000002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(2003/B26*100)</f>
        <v>82.802811078958243</v>
      </c>
      <c r="D26" s="15">
        <v>416</v>
      </c>
      <c r="E26" s="14">
        <v>43.275903589999999</v>
      </c>
      <c r="F26" s="16">
        <v>2.5286137100000001</v>
      </c>
      <c r="G26" s="14">
        <v>56.724096410000001</v>
      </c>
      <c r="H26" s="16">
        <v>2.5286137100000001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(2220/B27*100)</f>
        <v>82.743197912784197</v>
      </c>
      <c r="D27" s="15">
        <v>463</v>
      </c>
      <c r="E27" s="14">
        <v>57.19608538</v>
      </c>
      <c r="F27" s="16">
        <v>2.09876708</v>
      </c>
      <c r="G27" s="14">
        <v>42.80391462</v>
      </c>
      <c r="H27" s="16">
        <v>2.09876708</v>
      </c>
      <c r="I27" s="14" t="s">
        <v>139</v>
      </c>
      <c r="J27" s="16" t="s">
        <v>139</v>
      </c>
      <c r="K27" s="14">
        <v>0</v>
      </c>
      <c r="L27" s="16">
        <v>0</v>
      </c>
      <c r="M27" s="14">
        <v>0</v>
      </c>
      <c r="N27" s="16">
        <v>0</v>
      </c>
      <c r="O27" s="14">
        <v>0</v>
      </c>
      <c r="P27" s="16">
        <v>0</v>
      </c>
      <c r="Q27" s="14">
        <v>0</v>
      </c>
      <c r="R27" s="16">
        <v>0</v>
      </c>
    </row>
    <row r="28" spans="1:18" x14ac:dyDescent="0.25">
      <c r="A28" s="11" t="s">
        <v>161</v>
      </c>
      <c r="B28" s="13">
        <v>3803</v>
      </c>
      <c r="C28" s="14">
        <f>(3145/B28*100)</f>
        <v>82.697870102550624</v>
      </c>
      <c r="D28" s="15">
        <v>658</v>
      </c>
      <c r="E28" s="14">
        <v>47.458131559999998</v>
      </c>
      <c r="F28" s="16">
        <v>2.0538772600000001</v>
      </c>
      <c r="G28" s="14">
        <v>52.541868440000002</v>
      </c>
      <c r="H28" s="16">
        <v>2.0538772600000001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55.095118020000001</v>
      </c>
      <c r="F29" s="16">
        <v>2.224329</v>
      </c>
      <c r="G29" s="14">
        <v>44.904881979999999</v>
      </c>
      <c r="H29" s="16">
        <v>2.224329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(1875/B30*100)</f>
        <v>83.074878156845372</v>
      </c>
      <c r="D30" s="15">
        <v>382</v>
      </c>
      <c r="E30" s="14">
        <v>41.407744219999998</v>
      </c>
      <c r="F30" s="16">
        <v>2.7163863899999998</v>
      </c>
      <c r="G30" s="14">
        <v>58.592255780000002</v>
      </c>
      <c r="H30" s="16">
        <v>2.7163863899999998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(2219/B31*100)</f>
        <v>82.002956393200293</v>
      </c>
      <c r="D31" s="15">
        <v>487</v>
      </c>
      <c r="E31" s="14">
        <v>38.969835519999997</v>
      </c>
      <c r="F31" s="16">
        <v>2.1420032</v>
      </c>
      <c r="G31" s="14">
        <v>61.030164480000003</v>
      </c>
      <c r="H31" s="16">
        <v>2.1420032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(3013/B33*100)</f>
        <v>82.525335524513835</v>
      </c>
      <c r="D33" s="15">
        <v>638</v>
      </c>
      <c r="E33" s="14">
        <v>46.420353579999997</v>
      </c>
      <c r="F33" s="16">
        <v>2.5307046799999999</v>
      </c>
      <c r="G33" s="14">
        <v>53.579646420000003</v>
      </c>
      <c r="H33" s="16">
        <v>2.5307046799999999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(2550/B34*100)</f>
        <v>84.019769357495875</v>
      </c>
      <c r="D34" s="15">
        <v>485</v>
      </c>
      <c r="E34" s="14">
        <v>41.499060960000001</v>
      </c>
      <c r="F34" s="16">
        <v>2.19066538</v>
      </c>
      <c r="G34" s="14">
        <v>58.500939039999999</v>
      </c>
      <c r="H34" s="16">
        <v>2.19066538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(2415/B35*100)</f>
        <v>83.247156153050668</v>
      </c>
      <c r="D35" s="15">
        <v>486</v>
      </c>
      <c r="E35" s="14">
        <v>35.757572680000003</v>
      </c>
      <c r="F35" s="16">
        <v>2.9280619099999998</v>
      </c>
      <c r="G35" s="14">
        <v>64.242427320000004</v>
      </c>
      <c r="H35" s="16">
        <v>2.9280619099999998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(2807/B36*100)</f>
        <v>82.461809635722688</v>
      </c>
      <c r="D36" s="15">
        <v>597</v>
      </c>
      <c r="E36" s="14">
        <v>48.632376559999997</v>
      </c>
      <c r="F36" s="16">
        <v>2.0367580300000001</v>
      </c>
      <c r="G36" s="14">
        <v>51.367623440000003</v>
      </c>
      <c r="H36" s="16">
        <v>2.0367580300000001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(2271/B37*100)</f>
        <v>83.156352984254852</v>
      </c>
      <c r="D37" s="15">
        <v>460</v>
      </c>
      <c r="E37" s="14">
        <v>47.630667670000001</v>
      </c>
      <c r="F37" s="16">
        <v>2.3008357899999998</v>
      </c>
      <c r="G37" s="14">
        <v>52.369332329999999</v>
      </c>
      <c r="H37" s="16">
        <v>2.3008357899999998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(2431/B39*100)</f>
        <v>82.743362831858406</v>
      </c>
      <c r="D39" s="15">
        <v>507</v>
      </c>
      <c r="E39" s="14">
        <v>53.279472920000003</v>
      </c>
      <c r="F39" s="16">
        <v>2.4372052900000001</v>
      </c>
      <c r="G39" s="14">
        <v>46.720527079999997</v>
      </c>
      <c r="H39" s="16">
        <v>2.4372052900000001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(5708/B40*100)</f>
        <v>82.461716266974861</v>
      </c>
      <c r="D40" s="15">
        <v>1214</v>
      </c>
      <c r="E40" s="14">
        <v>44.862189469999997</v>
      </c>
      <c r="F40" s="16">
        <v>2.2272139900000001</v>
      </c>
      <c r="G40" s="14">
        <v>55.137810530000003</v>
      </c>
      <c r="H40" s="16">
        <v>2.2272139900000001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(2379/B41*100)</f>
        <v>83.356692361597766</v>
      </c>
      <c r="D41" s="15">
        <v>475</v>
      </c>
      <c r="E41" s="14">
        <v>44.086435510000001</v>
      </c>
      <c r="F41" s="16">
        <v>2.1751541900000002</v>
      </c>
      <c r="G41" s="14">
        <v>55.913564489999999</v>
      </c>
      <c r="H41" s="16">
        <v>2.1751541900000002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82.956227203176397</v>
      </c>
      <c r="D42" s="15">
        <f>IF(COUNT(D7:D41) &gt; 0, AVERAGE(D7:D41), "—")</f>
        <v>616.3125</v>
      </c>
      <c r="E42" s="14">
        <f>IF(COUNT(E7:E41) &gt; 0, AVERAGE(E7:E41), "—")</f>
        <v>46.878915193750011</v>
      </c>
      <c r="F42" s="16">
        <f>IF(COUNT(F7:F41) &gt; 0, SQRT(SUMSQ(F7:F41)/(COUNT(F7:F41)*COUNT(F7:F41)) ), "—")</f>
        <v>0.41005112027159657</v>
      </c>
      <c r="G42" s="14">
        <f>IF(COUNT(G7:G41) &gt; 0, AVERAGE(G7:G41), "—")</f>
        <v>53.121084806249989</v>
      </c>
      <c r="H42" s="16">
        <f>IF(COUNT(H7:H41) &gt; 0, SQRT(SUMSQ(H7:H41)/(COUNT(H7:H41)*COUNT(H7:H41)) ), "—")</f>
        <v>0.41005112027159657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(10107/B46*100)</f>
        <v>83.715729313343829</v>
      </c>
      <c r="D46" s="15">
        <v>1966</v>
      </c>
      <c r="E46" s="14">
        <v>59.760922720000003</v>
      </c>
      <c r="F46" s="16">
        <v>1.55044424</v>
      </c>
      <c r="G46" s="14">
        <v>40.239077279999997</v>
      </c>
      <c r="H46" s="16">
        <v>1.55044424</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(2335/B47*100)</f>
        <v>82.713425433935527</v>
      </c>
      <c r="D47" s="15">
        <v>488</v>
      </c>
      <c r="E47" s="14">
        <v>53.743162470000001</v>
      </c>
      <c r="F47" s="16">
        <v>2.2268121500000002</v>
      </c>
      <c r="G47" s="14">
        <v>46.256837529999999</v>
      </c>
      <c r="H47" s="16">
        <v>2.2268121500000002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45.43138982</v>
      </c>
      <c r="F48" s="16">
        <v>2.27117367</v>
      </c>
      <c r="G48" s="14">
        <v>54.56861018</v>
      </c>
      <c r="H48" s="16">
        <v>2.27117367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(5097/B50*100)</f>
        <v>82.770379993504378</v>
      </c>
      <c r="D50" s="15">
        <v>1061</v>
      </c>
      <c r="E50" s="14">
        <v>50.365319900000003</v>
      </c>
      <c r="F50" s="16">
        <v>1.8680276300000001</v>
      </c>
      <c r="G50" s="14">
        <v>49.634680099999997</v>
      </c>
      <c r="H50" s="16">
        <v>1.8680276300000001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(2952/B51*100)</f>
        <v>84.487693188322837</v>
      </c>
      <c r="D51" s="15">
        <v>542</v>
      </c>
      <c r="E51" s="14">
        <v>61.66351762</v>
      </c>
      <c r="F51" s="16">
        <v>2.37613327</v>
      </c>
      <c r="G51" s="14">
        <v>38.33648238</v>
      </c>
      <c r="H51" s="16">
        <v>2.37613327</v>
      </c>
      <c r="I51" s="14" t="s">
        <v>139</v>
      </c>
      <c r="J51" s="16" t="s">
        <v>139</v>
      </c>
      <c r="K51" s="14">
        <v>0</v>
      </c>
      <c r="L51" s="16">
        <v>0</v>
      </c>
      <c r="M51" s="14">
        <v>0</v>
      </c>
      <c r="N51" s="16">
        <v>0</v>
      </c>
      <c r="O51" s="14">
        <v>0</v>
      </c>
      <c r="P51" s="16">
        <v>0</v>
      </c>
      <c r="Q51" s="14">
        <v>0</v>
      </c>
      <c r="R51" s="16">
        <v>0</v>
      </c>
    </row>
    <row r="52" spans="1:18" x14ac:dyDescent="0.25">
      <c r="A52" s="11" t="s">
        <v>185</v>
      </c>
      <c r="B52" s="13">
        <v>3013</v>
      </c>
      <c r="C52" s="14">
        <f>(2479/B52*100)</f>
        <v>82.276800531032194</v>
      </c>
      <c r="D52" s="15">
        <v>534</v>
      </c>
      <c r="E52" s="14">
        <v>47.50171117</v>
      </c>
      <c r="F52" s="16">
        <v>2.9068515399999999</v>
      </c>
      <c r="G52" s="14">
        <v>52.49828883</v>
      </c>
      <c r="H52" s="16">
        <v>2.9068515399999999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(2283/B53*100)</f>
        <v>82.717391304347828</v>
      </c>
      <c r="D53" s="15">
        <v>477</v>
      </c>
      <c r="E53" s="14">
        <v>55.876613460000002</v>
      </c>
      <c r="F53" s="16">
        <v>2.4497123200000002</v>
      </c>
      <c r="G53" s="14">
        <v>44.123386539999998</v>
      </c>
      <c r="H53" s="16">
        <v>2.4497123200000002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38.963837849999997</v>
      </c>
      <c r="F56" s="16">
        <v>2.3940534499999999</v>
      </c>
      <c r="G56" s="14">
        <v>61.036162150000003</v>
      </c>
      <c r="H56" s="16">
        <v>2.3940534499999999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(2641/B61*100)</f>
        <v>82.505467041549522</v>
      </c>
      <c r="D61" s="15">
        <v>560</v>
      </c>
      <c r="E61" s="14">
        <v>45.518562580000001</v>
      </c>
      <c r="F61" s="16">
        <v>2.1054542700000001</v>
      </c>
      <c r="G61" s="14">
        <v>54.481437419999999</v>
      </c>
      <c r="H61" s="16">
        <v>2.1054542700000001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(1838/B62*100)</f>
        <v>82.421524663677133</v>
      </c>
      <c r="D62" s="15">
        <v>392</v>
      </c>
      <c r="E62" s="14">
        <v>38.770762490000003</v>
      </c>
      <c r="F62" s="16">
        <v>2.2701308099999999</v>
      </c>
      <c r="G62" s="14">
        <v>61.229237509999997</v>
      </c>
      <c r="H62" s="16">
        <v>2.2701308099999999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(2288/B66*100)</f>
        <v>82.569469505593645</v>
      </c>
      <c r="D66" s="15">
        <v>483</v>
      </c>
      <c r="E66" s="14">
        <v>63.337536790000001</v>
      </c>
      <c r="F66" s="16">
        <v>2.1603503399999999</v>
      </c>
      <c r="G66" s="14">
        <v>36.662463209999999</v>
      </c>
      <c r="H66" s="16">
        <v>2.1603503399999999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(2912/B67*100)</f>
        <v>84.161849710982665</v>
      </c>
      <c r="D67" s="15">
        <v>548</v>
      </c>
      <c r="E67" s="14">
        <v>58.426912809999997</v>
      </c>
      <c r="F67" s="16">
        <v>2.2065266100000001</v>
      </c>
      <c r="G67" s="14">
        <v>41.573087190000003</v>
      </c>
      <c r="H67" s="16">
        <v>2.2065266100000001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(2567/B70*100)</f>
        <v>82.61989056968136</v>
      </c>
      <c r="D70" s="15">
        <v>540</v>
      </c>
      <c r="E70" s="14">
        <v>46.911350540000001</v>
      </c>
      <c r="F70" s="16">
        <v>2.0221739099999998</v>
      </c>
      <c r="G70" s="14">
        <v>53.088649459999999</v>
      </c>
      <c r="H70" s="16">
        <v>2.0221739099999998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45.406043400000001</v>
      </c>
      <c r="F72" s="16">
        <v>2.0726030199999999</v>
      </c>
      <c r="G72" s="14">
        <v>54.593956599999999</v>
      </c>
      <c r="H72" s="16">
        <v>2.0726030199999999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(3853/B73*100)</f>
        <v>82.82459157351677</v>
      </c>
      <c r="D73" s="15">
        <v>799</v>
      </c>
      <c r="E73" s="14">
        <v>55.193509929999998</v>
      </c>
      <c r="F73" s="16">
        <v>2.3366315100000001</v>
      </c>
      <c r="G73" s="14">
        <v>44.806490070000002</v>
      </c>
      <c r="H73" s="16">
        <v>2.3366315100000001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(2493/B75*100)</f>
        <v>83.967665880767939</v>
      </c>
      <c r="D75" s="15">
        <v>476</v>
      </c>
      <c r="E75" s="14">
        <v>61.385976100000001</v>
      </c>
      <c r="F75" s="16">
        <v>2.1036417300000001</v>
      </c>
      <c r="G75" s="14">
        <v>38.614023899999999</v>
      </c>
      <c r="H75" s="16">
        <v>2.1036417300000001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(5900/B76*100)</f>
        <v>82.923401264933233</v>
      </c>
      <c r="D76" s="15">
        <v>1215</v>
      </c>
      <c r="E76" s="14">
        <v>51.072579840000003</v>
      </c>
      <c r="F76" s="16">
        <v>2.04655889</v>
      </c>
      <c r="G76" s="14">
        <v>48.927420159999997</v>
      </c>
      <c r="H76" s="16">
        <v>2.04655889</v>
      </c>
      <c r="I76" s="14" t="s">
        <v>139</v>
      </c>
      <c r="J76" s="16" t="s">
        <v>139</v>
      </c>
      <c r="K76" s="14">
        <v>0</v>
      </c>
      <c r="L76" s="16">
        <v>0</v>
      </c>
      <c r="M76" s="14">
        <v>0</v>
      </c>
      <c r="N76" s="16">
        <v>0</v>
      </c>
      <c r="O76" s="14">
        <v>0</v>
      </c>
      <c r="P76" s="16">
        <v>0</v>
      </c>
      <c r="Q76" s="14">
        <v>0</v>
      </c>
      <c r="R76" s="16">
        <v>0</v>
      </c>
    </row>
    <row r="77" spans="1:18" x14ac:dyDescent="0.25">
      <c r="A77" s="11" t="s">
        <v>210</v>
      </c>
      <c r="B77" s="13">
        <v>3154</v>
      </c>
      <c r="C77" s="14">
        <f>(2596/B77*100)</f>
        <v>82.308180088776169</v>
      </c>
      <c r="D77" s="15">
        <v>558</v>
      </c>
      <c r="E77" s="14">
        <v>57.124888480000003</v>
      </c>
      <c r="F77" s="16">
        <v>2.0925859899999999</v>
      </c>
      <c r="G77" s="14">
        <v>42.875111519999997</v>
      </c>
      <c r="H77" s="16">
        <v>2.0925859899999999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(3900/B81*100)</f>
        <v>83.014048531289902</v>
      </c>
      <c r="D81" s="15">
        <v>798</v>
      </c>
      <c r="E81" s="14">
        <v>59.70771251</v>
      </c>
      <c r="F81" s="16">
        <v>2.1816641300000001</v>
      </c>
      <c r="G81" s="14">
        <v>40.29228749</v>
      </c>
      <c r="H81" s="16">
        <v>2.1816641300000001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279</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229</v>
      </c>
      <c r="F4" s="25"/>
      <c r="G4" s="24" t="s">
        <v>230</v>
      </c>
      <c r="H4" s="25"/>
      <c r="I4" s="24" t="s">
        <v>232</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(5952/B7*100)</f>
        <v>83.093675834147703</v>
      </c>
      <c r="D7" s="15">
        <v>1211</v>
      </c>
      <c r="E7" s="14">
        <v>18.208491609999999</v>
      </c>
      <c r="F7" s="16">
        <v>1.2173792000000001</v>
      </c>
      <c r="G7" s="14">
        <v>27.878278030000001</v>
      </c>
      <c r="H7" s="16">
        <v>1.45097224</v>
      </c>
      <c r="I7" s="14">
        <v>53.91323036</v>
      </c>
      <c r="J7" s="16">
        <v>1.5210889599999999</v>
      </c>
      <c r="K7" s="14" t="s">
        <v>139</v>
      </c>
      <c r="L7" s="16" t="s">
        <v>139</v>
      </c>
      <c r="M7" s="14">
        <v>0</v>
      </c>
      <c r="N7" s="16">
        <v>0</v>
      </c>
      <c r="O7" s="14">
        <v>0</v>
      </c>
      <c r="P7" s="16">
        <v>0</v>
      </c>
      <c r="Q7" s="14">
        <v>0</v>
      </c>
      <c r="R7" s="16">
        <v>0</v>
      </c>
      <c r="S7" s="14">
        <v>0</v>
      </c>
      <c r="T7" s="16">
        <v>0</v>
      </c>
    </row>
    <row r="8" spans="1:20" x14ac:dyDescent="0.25">
      <c r="A8" s="11" t="s">
        <v>140</v>
      </c>
      <c r="B8" s="13">
        <v>3443</v>
      </c>
      <c r="C8" s="14">
        <f>(2859/B8*100)</f>
        <v>83.03804821376707</v>
      </c>
      <c r="D8" s="15">
        <v>584</v>
      </c>
      <c r="E8" s="14">
        <v>19.081603999999999</v>
      </c>
      <c r="F8" s="16">
        <v>1.9404917399999999</v>
      </c>
      <c r="G8" s="14">
        <v>25.367954220000001</v>
      </c>
      <c r="H8" s="16">
        <v>1.7196271599999999</v>
      </c>
      <c r="I8" s="14">
        <v>55.55044178</v>
      </c>
      <c r="J8" s="16">
        <v>2.2792599099999999</v>
      </c>
      <c r="K8" s="14" t="s">
        <v>139</v>
      </c>
      <c r="L8" s="16" t="s">
        <v>139</v>
      </c>
      <c r="M8" s="14">
        <v>0</v>
      </c>
      <c r="N8" s="16">
        <v>0</v>
      </c>
      <c r="O8" s="14">
        <v>0</v>
      </c>
      <c r="P8" s="16">
        <v>0</v>
      </c>
      <c r="Q8" s="14">
        <v>0</v>
      </c>
      <c r="R8" s="16">
        <v>0</v>
      </c>
      <c r="S8" s="14">
        <v>0</v>
      </c>
      <c r="T8" s="16">
        <v>0</v>
      </c>
    </row>
    <row r="9" spans="1:20" x14ac:dyDescent="0.25">
      <c r="A9" s="11" t="s">
        <v>141</v>
      </c>
      <c r="B9" s="13">
        <v>4752</v>
      </c>
      <c r="C9" s="14">
        <f>(3943/B9*100)</f>
        <v>82.975589225589232</v>
      </c>
      <c r="D9" s="15">
        <v>809</v>
      </c>
      <c r="E9" s="14">
        <v>20.092254109999999</v>
      </c>
      <c r="F9" s="16">
        <v>1.66579375</v>
      </c>
      <c r="G9" s="14">
        <v>27.617169329999999</v>
      </c>
      <c r="H9" s="16">
        <v>1.3282224</v>
      </c>
      <c r="I9" s="14">
        <v>52.290576559999998</v>
      </c>
      <c r="J9" s="16">
        <v>1.6326493799999999</v>
      </c>
      <c r="K9" s="14" t="s">
        <v>139</v>
      </c>
      <c r="L9" s="16" t="s">
        <v>139</v>
      </c>
      <c r="M9" s="14">
        <v>0</v>
      </c>
      <c r="N9" s="16">
        <v>0</v>
      </c>
      <c r="O9" s="14">
        <v>0</v>
      </c>
      <c r="P9" s="16">
        <v>0</v>
      </c>
      <c r="Q9" s="14">
        <v>0</v>
      </c>
      <c r="R9" s="16">
        <v>0</v>
      </c>
      <c r="S9" s="14">
        <v>0</v>
      </c>
      <c r="T9" s="16">
        <v>0</v>
      </c>
    </row>
    <row r="10" spans="1:20" x14ac:dyDescent="0.25">
      <c r="A10" s="11" t="s">
        <v>142</v>
      </c>
      <c r="B10" s="13">
        <v>10022</v>
      </c>
      <c r="C10" s="14">
        <f>(8310/B10*100)</f>
        <v>82.917581321093593</v>
      </c>
      <c r="D10" s="15">
        <v>1712</v>
      </c>
      <c r="E10" s="14">
        <v>15.98772316</v>
      </c>
      <c r="F10" s="16">
        <v>1.21014994</v>
      </c>
      <c r="G10" s="14">
        <v>27.89162468</v>
      </c>
      <c r="H10" s="16">
        <v>1.60938505</v>
      </c>
      <c r="I10" s="14">
        <v>56.120652159999999</v>
      </c>
      <c r="J10" s="16">
        <v>1.82837713</v>
      </c>
      <c r="K10" s="14" t="s">
        <v>139</v>
      </c>
      <c r="L10" s="16" t="s">
        <v>139</v>
      </c>
      <c r="M10" s="14">
        <v>0</v>
      </c>
      <c r="N10" s="16">
        <v>0</v>
      </c>
      <c r="O10" s="14">
        <v>0</v>
      </c>
      <c r="P10" s="16">
        <v>0</v>
      </c>
      <c r="Q10" s="14">
        <v>0</v>
      </c>
      <c r="R10" s="16">
        <v>0</v>
      </c>
      <c r="S10" s="14">
        <v>0</v>
      </c>
      <c r="T10" s="16">
        <v>0</v>
      </c>
    </row>
    <row r="11" spans="1:20" x14ac:dyDescent="0.25">
      <c r="A11" s="11" t="s">
        <v>143</v>
      </c>
      <c r="B11" s="13">
        <v>3500</v>
      </c>
      <c r="C11" s="14">
        <f>(2914/B11*100)</f>
        <v>83.257142857142853</v>
      </c>
      <c r="D11" s="15">
        <v>586</v>
      </c>
      <c r="E11" s="14">
        <v>29.744880550000001</v>
      </c>
      <c r="F11" s="16">
        <v>2.6503482100000002</v>
      </c>
      <c r="G11" s="14">
        <v>33.96531719</v>
      </c>
      <c r="H11" s="16">
        <v>2.3155894699999999</v>
      </c>
      <c r="I11" s="14">
        <v>36.289802260000002</v>
      </c>
      <c r="J11" s="16">
        <v>2.31758431</v>
      </c>
      <c r="K11" s="14" t="s">
        <v>139</v>
      </c>
      <c r="L11" s="16" t="s">
        <v>139</v>
      </c>
      <c r="M11" s="14">
        <v>0</v>
      </c>
      <c r="N11" s="16">
        <v>0</v>
      </c>
      <c r="O11" s="14">
        <v>0</v>
      </c>
      <c r="P11" s="16">
        <v>0</v>
      </c>
      <c r="Q11" s="14">
        <v>0</v>
      </c>
      <c r="R11" s="16">
        <v>0</v>
      </c>
      <c r="S11" s="14">
        <v>0</v>
      </c>
      <c r="T11" s="16">
        <v>0</v>
      </c>
    </row>
    <row r="12" spans="1:20" x14ac:dyDescent="0.25">
      <c r="A12" s="11" t="s">
        <v>144</v>
      </c>
      <c r="B12" s="13">
        <v>3422</v>
      </c>
      <c r="C12" s="14">
        <f>(2824/B12*100)</f>
        <v>82.524839275277614</v>
      </c>
      <c r="D12" s="15">
        <v>598</v>
      </c>
      <c r="E12" s="14">
        <v>20.61699578</v>
      </c>
      <c r="F12" s="16">
        <v>1.9362991300000001</v>
      </c>
      <c r="G12" s="14">
        <v>22.88673489</v>
      </c>
      <c r="H12" s="16">
        <v>1.7075872000000001</v>
      </c>
      <c r="I12" s="14">
        <v>56.496269339999998</v>
      </c>
      <c r="J12" s="16">
        <v>2.16330248</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(3001/B13*100)</f>
        <v>83.314825097168239</v>
      </c>
      <c r="D13" s="15">
        <v>601</v>
      </c>
      <c r="E13" s="14">
        <v>26.229113810000001</v>
      </c>
      <c r="F13" s="16">
        <v>2.0977903599999999</v>
      </c>
      <c r="G13" s="14">
        <v>31.647530289999999</v>
      </c>
      <c r="H13" s="16">
        <v>1.9768571699999999</v>
      </c>
      <c r="I13" s="14">
        <v>42.1233559</v>
      </c>
      <c r="J13" s="16">
        <v>2.2055689900000002</v>
      </c>
      <c r="K13" s="14" t="s">
        <v>139</v>
      </c>
      <c r="L13" s="16" t="s">
        <v>139</v>
      </c>
      <c r="M13" s="14">
        <v>0</v>
      </c>
      <c r="N13" s="16">
        <v>0</v>
      </c>
      <c r="O13" s="14">
        <v>0</v>
      </c>
      <c r="P13" s="16">
        <v>0</v>
      </c>
      <c r="Q13" s="14">
        <v>0</v>
      </c>
      <c r="R13" s="16">
        <v>0</v>
      </c>
      <c r="S13" s="14">
        <v>0</v>
      </c>
      <c r="T13" s="16">
        <v>0</v>
      </c>
    </row>
    <row r="14" spans="1:20" x14ac:dyDescent="0.25">
      <c r="A14" s="11" t="s">
        <v>146</v>
      </c>
      <c r="B14" s="13">
        <v>2788</v>
      </c>
      <c r="C14" s="14">
        <f>(2311/B14*100)</f>
        <v>82.890961262553802</v>
      </c>
      <c r="D14" s="15">
        <v>477</v>
      </c>
      <c r="E14" s="14">
        <v>13.70997296</v>
      </c>
      <c r="F14" s="16">
        <v>1.7217656400000001</v>
      </c>
      <c r="G14" s="14">
        <v>27.977065790000001</v>
      </c>
      <c r="H14" s="16">
        <v>2.1877873399999999</v>
      </c>
      <c r="I14" s="14">
        <v>58.312961260000002</v>
      </c>
      <c r="J14" s="16">
        <v>2.51562201</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(2369/B15*100)</f>
        <v>82.74537198742577</v>
      </c>
      <c r="D15" s="15">
        <v>494</v>
      </c>
      <c r="E15" s="14">
        <v>21.561244940000002</v>
      </c>
      <c r="F15" s="16">
        <v>1.99410877</v>
      </c>
      <c r="G15" s="14">
        <v>26.836732250000001</v>
      </c>
      <c r="H15" s="16">
        <v>2.09410637</v>
      </c>
      <c r="I15" s="14">
        <v>51.602022810000001</v>
      </c>
      <c r="J15" s="16">
        <v>2.1794243500000001</v>
      </c>
      <c r="K15" s="14" t="s">
        <v>139</v>
      </c>
      <c r="L15" s="16" t="s">
        <v>139</v>
      </c>
      <c r="M15" s="14">
        <v>0</v>
      </c>
      <c r="N15" s="16">
        <v>0</v>
      </c>
      <c r="O15" s="14">
        <v>0</v>
      </c>
      <c r="P15" s="16">
        <v>0</v>
      </c>
      <c r="Q15" s="14">
        <v>0</v>
      </c>
      <c r="R15" s="16">
        <v>0</v>
      </c>
      <c r="S15" s="14">
        <v>0</v>
      </c>
      <c r="T15" s="16">
        <v>0</v>
      </c>
    </row>
    <row r="16" spans="1:20" x14ac:dyDescent="0.25">
      <c r="A16" s="11" t="s">
        <v>148</v>
      </c>
      <c r="B16" s="13">
        <v>3111</v>
      </c>
      <c r="C16" s="14">
        <f>(2562/B16*100)</f>
        <v>82.35294117647058</v>
      </c>
      <c r="D16" s="15">
        <v>549</v>
      </c>
      <c r="E16" s="14">
        <v>20.106628959999998</v>
      </c>
      <c r="F16" s="16">
        <v>1.8525887599999999</v>
      </c>
      <c r="G16" s="14">
        <v>27.773580249999998</v>
      </c>
      <c r="H16" s="16">
        <v>1.9068241800000001</v>
      </c>
      <c r="I16" s="14">
        <v>52.119790780000002</v>
      </c>
      <c r="J16" s="16">
        <v>2.2820911499999998</v>
      </c>
      <c r="K16" s="14" t="s">
        <v>139</v>
      </c>
      <c r="L16" s="16" t="s">
        <v>139</v>
      </c>
      <c r="M16" s="14">
        <v>0</v>
      </c>
      <c r="N16" s="16">
        <v>0</v>
      </c>
      <c r="O16" s="14">
        <v>0</v>
      </c>
      <c r="P16" s="16">
        <v>0</v>
      </c>
      <c r="Q16" s="14">
        <v>0</v>
      </c>
      <c r="R16" s="16">
        <v>0</v>
      </c>
      <c r="S16" s="14">
        <v>0</v>
      </c>
      <c r="T16" s="16">
        <v>0</v>
      </c>
    </row>
    <row r="17" spans="1:20" x14ac:dyDescent="0.25">
      <c r="A17" s="11" t="s">
        <v>149</v>
      </c>
      <c r="B17" s="13">
        <v>3197</v>
      </c>
      <c r="C17" s="14">
        <f>(2642/B17*100)</f>
        <v>82.639974976540515</v>
      </c>
      <c r="D17" s="15">
        <v>555</v>
      </c>
      <c r="E17" s="14">
        <v>16.586309830000001</v>
      </c>
      <c r="F17" s="16">
        <v>1.91066146</v>
      </c>
      <c r="G17" s="14">
        <v>24.07594083</v>
      </c>
      <c r="H17" s="16">
        <v>2.22872103</v>
      </c>
      <c r="I17" s="14">
        <v>59.337749340000002</v>
      </c>
      <c r="J17" s="16">
        <v>2.2481588499999998</v>
      </c>
      <c r="K17" s="14" t="s">
        <v>139</v>
      </c>
      <c r="L17" s="16" t="s">
        <v>139</v>
      </c>
      <c r="M17" s="14">
        <v>0</v>
      </c>
      <c r="N17" s="16">
        <v>0</v>
      </c>
      <c r="O17" s="14">
        <v>0</v>
      </c>
      <c r="P17" s="16">
        <v>0</v>
      </c>
      <c r="Q17" s="14">
        <v>0</v>
      </c>
      <c r="R17" s="16">
        <v>0</v>
      </c>
      <c r="S17" s="14">
        <v>0</v>
      </c>
      <c r="T17" s="16">
        <v>0</v>
      </c>
    </row>
    <row r="18" spans="1:20" x14ac:dyDescent="0.25">
      <c r="A18" s="11" t="s">
        <v>150</v>
      </c>
      <c r="B18" s="13">
        <v>2706</v>
      </c>
      <c r="C18" s="14">
        <f>(2280/B18*100)</f>
        <v>84.257206208425714</v>
      </c>
      <c r="D18" s="15">
        <v>426</v>
      </c>
      <c r="E18" s="14">
        <v>27.34104546</v>
      </c>
      <c r="F18" s="16">
        <v>2.3402398799999999</v>
      </c>
      <c r="G18" s="14">
        <v>32.289235150000003</v>
      </c>
      <c r="H18" s="16">
        <v>2.2787647799999999</v>
      </c>
      <c r="I18" s="14">
        <v>40.36971939</v>
      </c>
      <c r="J18" s="16">
        <v>2.1891903500000001</v>
      </c>
      <c r="K18" s="14" t="s">
        <v>139</v>
      </c>
      <c r="L18" s="16" t="s">
        <v>139</v>
      </c>
      <c r="M18" s="14">
        <v>0</v>
      </c>
      <c r="N18" s="16">
        <v>0</v>
      </c>
      <c r="O18" s="14">
        <v>0</v>
      </c>
      <c r="P18" s="16">
        <v>0</v>
      </c>
      <c r="Q18" s="14">
        <v>0</v>
      </c>
      <c r="R18" s="16">
        <v>0</v>
      </c>
      <c r="S18" s="14">
        <v>0</v>
      </c>
      <c r="T18" s="16">
        <v>0</v>
      </c>
    </row>
    <row r="19" spans="1:20" x14ac:dyDescent="0.25">
      <c r="A19" s="11" t="s">
        <v>151</v>
      </c>
      <c r="B19" s="13">
        <v>2850</v>
      </c>
      <c r="C19" s="14">
        <f>(2360/B19*100)</f>
        <v>82.807017543859658</v>
      </c>
      <c r="D19" s="15">
        <v>490</v>
      </c>
      <c r="E19" s="14">
        <v>28.298827889999998</v>
      </c>
      <c r="F19" s="16">
        <v>2.4547154299999998</v>
      </c>
      <c r="G19" s="14">
        <v>27.46976531</v>
      </c>
      <c r="H19" s="16">
        <v>2.1538079200000002</v>
      </c>
      <c r="I19" s="14">
        <v>44.231406810000003</v>
      </c>
      <c r="J19" s="16">
        <v>2.3255069100000001</v>
      </c>
      <c r="K19" s="14" t="s">
        <v>139</v>
      </c>
      <c r="L19" s="16" t="s">
        <v>139</v>
      </c>
      <c r="M19" s="14">
        <v>0</v>
      </c>
      <c r="N19" s="16">
        <v>0</v>
      </c>
      <c r="O19" s="14">
        <v>0</v>
      </c>
      <c r="P19" s="16">
        <v>0</v>
      </c>
      <c r="Q19" s="14">
        <v>0</v>
      </c>
      <c r="R19" s="16">
        <v>0</v>
      </c>
      <c r="S19" s="14">
        <v>0</v>
      </c>
      <c r="T19" s="16">
        <v>0</v>
      </c>
    </row>
    <row r="20" spans="1:20" x14ac:dyDescent="0.25">
      <c r="A20" s="11" t="s">
        <v>152</v>
      </c>
      <c r="B20" s="13">
        <v>1741</v>
      </c>
      <c r="C20" s="14">
        <f>(1451/B20*100)</f>
        <v>83.34290637564618</v>
      </c>
      <c r="D20" s="15">
        <v>290</v>
      </c>
      <c r="E20" s="14">
        <v>20.081510699999999</v>
      </c>
      <c r="F20" s="16">
        <v>1.89441185</v>
      </c>
      <c r="G20" s="14">
        <v>29.392736330000002</v>
      </c>
      <c r="H20" s="16">
        <v>2.74472147</v>
      </c>
      <c r="I20" s="14">
        <v>50.525752969999999</v>
      </c>
      <c r="J20" s="16">
        <v>2.9146952599999998</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(3114/B22*100)</f>
        <v>84.919552767930185</v>
      </c>
      <c r="D22" s="15">
        <v>553</v>
      </c>
      <c r="E22" s="14">
        <v>29.20156635</v>
      </c>
      <c r="F22" s="16">
        <v>2.1426226900000001</v>
      </c>
      <c r="G22" s="14">
        <v>25.864538240000002</v>
      </c>
      <c r="H22" s="16">
        <v>1.72286038</v>
      </c>
      <c r="I22" s="14">
        <v>44.933895419999999</v>
      </c>
      <c r="J22" s="16">
        <v>2.5139961400000002</v>
      </c>
      <c r="K22" s="14" t="s">
        <v>139</v>
      </c>
      <c r="L22" s="16" t="s">
        <v>139</v>
      </c>
      <c r="M22" s="14">
        <v>0</v>
      </c>
      <c r="N22" s="16">
        <v>0</v>
      </c>
      <c r="O22" s="14">
        <v>0</v>
      </c>
      <c r="P22" s="16">
        <v>0</v>
      </c>
      <c r="Q22" s="14">
        <v>0</v>
      </c>
      <c r="R22" s="16">
        <v>0</v>
      </c>
      <c r="S22" s="14">
        <v>0</v>
      </c>
      <c r="T22" s="16">
        <v>0</v>
      </c>
    </row>
    <row r="23" spans="1:20" x14ac:dyDescent="0.25">
      <c r="A23" s="11" t="s">
        <v>156</v>
      </c>
      <c r="B23" s="13">
        <v>5792</v>
      </c>
      <c r="C23" s="14">
        <f>(4806/B23*100)</f>
        <v>82.976519337016569</v>
      </c>
      <c r="D23" s="15">
        <v>986</v>
      </c>
      <c r="E23" s="14">
        <v>23.474062419999999</v>
      </c>
      <c r="F23" s="16">
        <v>2.1635338000000002</v>
      </c>
      <c r="G23" s="14">
        <v>29.301675289999999</v>
      </c>
      <c r="H23" s="16">
        <v>2.4894034199999999</v>
      </c>
      <c r="I23" s="14">
        <v>47.224262289999999</v>
      </c>
      <c r="J23" s="16">
        <v>2.8596752099999998</v>
      </c>
      <c r="K23" s="14" t="s">
        <v>139</v>
      </c>
      <c r="L23" s="16" t="s">
        <v>139</v>
      </c>
      <c r="M23" s="14">
        <v>0</v>
      </c>
      <c r="N23" s="16">
        <v>0</v>
      </c>
      <c r="O23" s="14">
        <v>0</v>
      </c>
      <c r="P23" s="16">
        <v>0</v>
      </c>
      <c r="Q23" s="14">
        <v>0</v>
      </c>
      <c r="R23" s="16">
        <v>0</v>
      </c>
      <c r="S23" s="14">
        <v>0</v>
      </c>
      <c r="T23" s="16">
        <v>0</v>
      </c>
    </row>
    <row r="24" spans="1:20" x14ac:dyDescent="0.25">
      <c r="A24" s="11" t="s">
        <v>157</v>
      </c>
      <c r="B24" s="13">
        <v>3309</v>
      </c>
      <c r="C24" s="14">
        <f>(2712/B24*100)</f>
        <v>81.958295557570267</v>
      </c>
      <c r="D24" s="15">
        <v>597</v>
      </c>
      <c r="E24" s="14">
        <v>22.194293800000001</v>
      </c>
      <c r="F24" s="16">
        <v>1.6022996700000001</v>
      </c>
      <c r="G24" s="14">
        <v>28.99168491</v>
      </c>
      <c r="H24" s="16">
        <v>1.8238208300000001</v>
      </c>
      <c r="I24" s="14">
        <v>48.814021289999999</v>
      </c>
      <c r="J24" s="16">
        <v>1.9833026300000001</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(2201/B25*100)</f>
        <v>82.465342825028102</v>
      </c>
      <c r="D25" s="15">
        <v>468</v>
      </c>
      <c r="E25" s="14">
        <v>18.399705470000001</v>
      </c>
      <c r="F25" s="16">
        <v>1.7598818199999999</v>
      </c>
      <c r="G25" s="14">
        <v>22.971942739999999</v>
      </c>
      <c r="H25" s="16">
        <v>2.1863152100000001</v>
      </c>
      <c r="I25" s="14">
        <v>58.628351790000004</v>
      </c>
      <c r="J25" s="16">
        <v>2.6003831499999999</v>
      </c>
      <c r="K25" s="14" t="s">
        <v>139</v>
      </c>
      <c r="L25" s="16" t="s">
        <v>139</v>
      </c>
      <c r="M25" s="14">
        <v>0</v>
      </c>
      <c r="N25" s="16">
        <v>0</v>
      </c>
      <c r="O25" s="14">
        <v>0</v>
      </c>
      <c r="P25" s="16">
        <v>0</v>
      </c>
      <c r="Q25" s="14">
        <v>0</v>
      </c>
      <c r="R25" s="16">
        <v>0</v>
      </c>
      <c r="S25" s="14">
        <v>0</v>
      </c>
      <c r="T25" s="16">
        <v>0</v>
      </c>
    </row>
    <row r="26" spans="1:20" x14ac:dyDescent="0.25">
      <c r="A26" s="11" t="s">
        <v>159</v>
      </c>
      <c r="B26" s="13">
        <v>2419</v>
      </c>
      <c r="C26" s="14">
        <f>(2003/B26*100)</f>
        <v>82.802811078958243</v>
      </c>
      <c r="D26" s="15">
        <v>416</v>
      </c>
      <c r="E26" s="14">
        <v>21.279496980000001</v>
      </c>
      <c r="F26" s="16">
        <v>2.5304738900000001</v>
      </c>
      <c r="G26" s="14">
        <v>24.90728081</v>
      </c>
      <c r="H26" s="16">
        <v>2.1891079200000001</v>
      </c>
      <c r="I26" s="14">
        <v>53.813222199999998</v>
      </c>
      <c r="J26" s="16">
        <v>2.4016451700000001</v>
      </c>
      <c r="K26" s="14" t="s">
        <v>139</v>
      </c>
      <c r="L26" s="16" t="s">
        <v>139</v>
      </c>
      <c r="M26" s="14">
        <v>0</v>
      </c>
      <c r="N26" s="16">
        <v>0</v>
      </c>
      <c r="O26" s="14">
        <v>0</v>
      </c>
      <c r="P26" s="16">
        <v>0</v>
      </c>
      <c r="Q26" s="14">
        <v>0</v>
      </c>
      <c r="R26" s="16">
        <v>0</v>
      </c>
      <c r="S26" s="14">
        <v>0</v>
      </c>
      <c r="T26" s="16">
        <v>0</v>
      </c>
    </row>
    <row r="27" spans="1:20" x14ac:dyDescent="0.25">
      <c r="A27" s="11" t="s">
        <v>160</v>
      </c>
      <c r="B27" s="13">
        <v>2683</v>
      </c>
      <c r="C27" s="14">
        <f>(2220/B27*100)</f>
        <v>82.743197912784197</v>
      </c>
      <c r="D27" s="15">
        <v>463</v>
      </c>
      <c r="E27" s="14">
        <v>21.031346249999999</v>
      </c>
      <c r="F27" s="16">
        <v>1.7012806199999999</v>
      </c>
      <c r="G27" s="14">
        <v>28.91256315</v>
      </c>
      <c r="H27" s="16">
        <v>2.3176932099999998</v>
      </c>
      <c r="I27" s="14">
        <v>50.056090599999997</v>
      </c>
      <c r="J27" s="16">
        <v>2.3427415100000002</v>
      </c>
      <c r="K27" s="14" t="s">
        <v>139</v>
      </c>
      <c r="L27" s="16" t="s">
        <v>139</v>
      </c>
      <c r="M27" s="14">
        <v>0</v>
      </c>
      <c r="N27" s="16">
        <v>0</v>
      </c>
      <c r="O27" s="14">
        <v>0</v>
      </c>
      <c r="P27" s="16">
        <v>0</v>
      </c>
      <c r="Q27" s="14">
        <v>0</v>
      </c>
      <c r="R27" s="16">
        <v>0</v>
      </c>
      <c r="S27" s="14">
        <v>0</v>
      </c>
      <c r="T27" s="16">
        <v>0</v>
      </c>
    </row>
    <row r="28" spans="1:20" x14ac:dyDescent="0.25">
      <c r="A28" s="11" t="s">
        <v>161</v>
      </c>
      <c r="B28" s="13">
        <v>3803</v>
      </c>
      <c r="C28" s="14">
        <f>(3146/B28*100)</f>
        <v>82.724165132789906</v>
      </c>
      <c r="D28" s="15">
        <v>657</v>
      </c>
      <c r="E28" s="14">
        <v>28.185595760000002</v>
      </c>
      <c r="F28" s="16">
        <v>2.1041633200000001</v>
      </c>
      <c r="G28" s="14">
        <v>22.828559210000002</v>
      </c>
      <c r="H28" s="16">
        <v>1.6028429200000001</v>
      </c>
      <c r="I28" s="14">
        <v>48.985845019999999</v>
      </c>
      <c r="J28" s="16">
        <v>2.3750840499999999</v>
      </c>
      <c r="K28" s="14" t="s">
        <v>139</v>
      </c>
      <c r="L28" s="16" t="s">
        <v>139</v>
      </c>
      <c r="M28" s="14">
        <v>0</v>
      </c>
      <c r="N28" s="16">
        <v>0</v>
      </c>
      <c r="O28" s="14">
        <v>0</v>
      </c>
      <c r="P28" s="16">
        <v>0</v>
      </c>
      <c r="Q28" s="14">
        <v>0</v>
      </c>
      <c r="R28" s="16">
        <v>0</v>
      </c>
      <c r="S28" s="14">
        <v>0</v>
      </c>
      <c r="T28" s="16">
        <v>0</v>
      </c>
    </row>
    <row r="29" spans="1:20" x14ac:dyDescent="0.25">
      <c r="A29" s="11" t="s">
        <v>162</v>
      </c>
      <c r="B29" s="13">
        <v>2700</v>
      </c>
      <c r="C29" s="14">
        <f>(2241/B29*100)</f>
        <v>83</v>
      </c>
      <c r="D29" s="15">
        <v>459</v>
      </c>
      <c r="E29" s="14">
        <v>20.980329999999999</v>
      </c>
      <c r="F29" s="16">
        <v>1.8544727000000001</v>
      </c>
      <c r="G29" s="14">
        <v>29.692061240000001</v>
      </c>
      <c r="H29" s="16">
        <v>2.1541771600000001</v>
      </c>
      <c r="I29" s="14">
        <v>49.327608759999997</v>
      </c>
      <c r="J29" s="16">
        <v>2.25979054</v>
      </c>
      <c r="K29" s="14" t="s">
        <v>139</v>
      </c>
      <c r="L29" s="16" t="s">
        <v>139</v>
      </c>
      <c r="M29" s="14">
        <v>0</v>
      </c>
      <c r="N29" s="16">
        <v>0</v>
      </c>
      <c r="O29" s="14">
        <v>0</v>
      </c>
      <c r="P29" s="16">
        <v>0</v>
      </c>
      <c r="Q29" s="14">
        <v>0</v>
      </c>
      <c r="R29" s="16">
        <v>0</v>
      </c>
      <c r="S29" s="14">
        <v>0</v>
      </c>
      <c r="T29" s="16">
        <v>0</v>
      </c>
    </row>
    <row r="30" spans="1:20" x14ac:dyDescent="0.25">
      <c r="A30" s="11" t="s">
        <v>163</v>
      </c>
      <c r="B30" s="13">
        <v>2257</v>
      </c>
      <c r="C30" s="14">
        <f>(1875/B30*100)</f>
        <v>83.074878156845372</v>
      </c>
      <c r="D30" s="15">
        <v>382</v>
      </c>
      <c r="E30" s="14">
        <v>16.12678141</v>
      </c>
      <c r="F30" s="16">
        <v>2.14611083</v>
      </c>
      <c r="G30" s="14">
        <v>25.662937549999999</v>
      </c>
      <c r="H30" s="16">
        <v>2.22693618</v>
      </c>
      <c r="I30" s="14">
        <v>58.210281039999998</v>
      </c>
      <c r="J30" s="16">
        <v>2.52722588</v>
      </c>
      <c r="K30" s="14" t="s">
        <v>139</v>
      </c>
      <c r="L30" s="16" t="s">
        <v>139</v>
      </c>
      <c r="M30" s="14">
        <v>0</v>
      </c>
      <c r="N30" s="16">
        <v>0</v>
      </c>
      <c r="O30" s="14">
        <v>0</v>
      </c>
      <c r="P30" s="16">
        <v>0</v>
      </c>
      <c r="Q30" s="14">
        <v>0</v>
      </c>
      <c r="R30" s="16">
        <v>0</v>
      </c>
      <c r="S30" s="14">
        <v>0</v>
      </c>
      <c r="T30" s="16">
        <v>0</v>
      </c>
    </row>
    <row r="31" spans="1:20" x14ac:dyDescent="0.25">
      <c r="A31" s="11" t="s">
        <v>164</v>
      </c>
      <c r="B31" s="13">
        <v>2706</v>
      </c>
      <c r="C31" s="14">
        <f>(2219/B31*100)</f>
        <v>82.002956393200293</v>
      </c>
      <c r="D31" s="15">
        <v>487</v>
      </c>
      <c r="E31" s="14">
        <v>17.528741790000002</v>
      </c>
      <c r="F31" s="16">
        <v>1.51923151</v>
      </c>
      <c r="G31" s="14">
        <v>35.478899720000001</v>
      </c>
      <c r="H31" s="16">
        <v>2.4156054899999999</v>
      </c>
      <c r="I31" s="14">
        <v>46.992358500000002</v>
      </c>
      <c r="J31" s="16">
        <v>2.3908054299999999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(3014/B33*100)</f>
        <v>82.552725280744994</v>
      </c>
      <c r="D33" s="15">
        <v>637</v>
      </c>
      <c r="E33" s="14">
        <v>28.51065183</v>
      </c>
      <c r="F33" s="16">
        <v>2.1627703299999999</v>
      </c>
      <c r="G33" s="14">
        <v>23.77444663</v>
      </c>
      <c r="H33" s="16">
        <v>1.7609802699999999</v>
      </c>
      <c r="I33" s="14">
        <v>47.71490155</v>
      </c>
      <c r="J33" s="16">
        <v>2.57813289</v>
      </c>
      <c r="K33" s="14" t="s">
        <v>139</v>
      </c>
      <c r="L33" s="16" t="s">
        <v>139</v>
      </c>
      <c r="M33" s="14">
        <v>0</v>
      </c>
      <c r="N33" s="16">
        <v>0</v>
      </c>
      <c r="O33" s="14">
        <v>0</v>
      </c>
      <c r="P33" s="16">
        <v>0</v>
      </c>
      <c r="Q33" s="14">
        <v>0</v>
      </c>
      <c r="R33" s="16">
        <v>0</v>
      </c>
      <c r="S33" s="14">
        <v>0</v>
      </c>
      <c r="T33" s="16">
        <v>0</v>
      </c>
    </row>
    <row r="34" spans="1:20" x14ac:dyDescent="0.25">
      <c r="A34" s="11" t="s">
        <v>167</v>
      </c>
      <c r="B34" s="13">
        <v>3035</v>
      </c>
      <c r="C34" s="14">
        <f>(2550/B34*100)</f>
        <v>84.019769357495875</v>
      </c>
      <c r="D34" s="15">
        <v>485</v>
      </c>
      <c r="E34" s="14">
        <v>23.758262770000002</v>
      </c>
      <c r="F34" s="16">
        <v>2.1925030799999998</v>
      </c>
      <c r="G34" s="14">
        <v>23.86476935</v>
      </c>
      <c r="H34" s="16">
        <v>2.0435539199999999</v>
      </c>
      <c r="I34" s="14">
        <v>52.376967880000002</v>
      </c>
      <c r="J34" s="16">
        <v>2.00032926</v>
      </c>
      <c r="K34" s="14" t="s">
        <v>139</v>
      </c>
      <c r="L34" s="16" t="s">
        <v>139</v>
      </c>
      <c r="M34" s="14">
        <v>0</v>
      </c>
      <c r="N34" s="16">
        <v>0</v>
      </c>
      <c r="O34" s="14">
        <v>0</v>
      </c>
      <c r="P34" s="16">
        <v>0</v>
      </c>
      <c r="Q34" s="14">
        <v>0</v>
      </c>
      <c r="R34" s="16">
        <v>0</v>
      </c>
      <c r="S34" s="14">
        <v>0</v>
      </c>
      <c r="T34" s="16">
        <v>0</v>
      </c>
    </row>
    <row r="35" spans="1:20" x14ac:dyDescent="0.25">
      <c r="A35" s="11" t="s">
        <v>168</v>
      </c>
      <c r="B35" s="13">
        <v>2901</v>
      </c>
      <c r="C35" s="14">
        <f>(2415/B35*100)</f>
        <v>83.247156153050668</v>
      </c>
      <c r="D35" s="15">
        <v>486</v>
      </c>
      <c r="E35" s="14">
        <v>22.834672770000001</v>
      </c>
      <c r="F35" s="16">
        <v>2.3266684500000001</v>
      </c>
      <c r="G35" s="14">
        <v>23.023569129999998</v>
      </c>
      <c r="H35" s="16">
        <v>2.2656033500000001</v>
      </c>
      <c r="I35" s="14">
        <v>54.141758099999997</v>
      </c>
      <c r="J35" s="16">
        <v>2.4811103499999998</v>
      </c>
      <c r="K35" s="14" t="s">
        <v>139</v>
      </c>
      <c r="L35" s="16" t="s">
        <v>139</v>
      </c>
      <c r="M35" s="14">
        <v>0</v>
      </c>
      <c r="N35" s="16">
        <v>0</v>
      </c>
      <c r="O35" s="14">
        <v>0</v>
      </c>
      <c r="P35" s="16">
        <v>0</v>
      </c>
      <c r="Q35" s="14">
        <v>0</v>
      </c>
      <c r="R35" s="16">
        <v>0</v>
      </c>
      <c r="S35" s="14">
        <v>0</v>
      </c>
      <c r="T35" s="16">
        <v>0</v>
      </c>
    </row>
    <row r="36" spans="1:20" x14ac:dyDescent="0.25">
      <c r="A36" s="11" t="s">
        <v>169</v>
      </c>
      <c r="B36" s="13">
        <v>3404</v>
      </c>
      <c r="C36" s="14">
        <f>(2807/B36*100)</f>
        <v>82.461809635722688</v>
      </c>
      <c r="D36" s="15">
        <v>597</v>
      </c>
      <c r="E36" s="14">
        <v>23.354562470000001</v>
      </c>
      <c r="F36" s="16">
        <v>1.9147941399999999</v>
      </c>
      <c r="G36" s="14">
        <v>28.78056205</v>
      </c>
      <c r="H36" s="16">
        <v>2.1532382299999999</v>
      </c>
      <c r="I36" s="14">
        <v>47.864875480000002</v>
      </c>
      <c r="J36" s="16">
        <v>2.0777941800000002</v>
      </c>
      <c r="K36" s="14" t="s">
        <v>139</v>
      </c>
      <c r="L36" s="16" t="s">
        <v>139</v>
      </c>
      <c r="M36" s="14">
        <v>0</v>
      </c>
      <c r="N36" s="16">
        <v>0</v>
      </c>
      <c r="O36" s="14">
        <v>0</v>
      </c>
      <c r="P36" s="16">
        <v>0</v>
      </c>
      <c r="Q36" s="14">
        <v>0</v>
      </c>
      <c r="R36" s="16">
        <v>0</v>
      </c>
      <c r="S36" s="14">
        <v>0</v>
      </c>
      <c r="T36" s="16">
        <v>0</v>
      </c>
    </row>
    <row r="37" spans="1:20" x14ac:dyDescent="0.25">
      <c r="A37" s="11" t="s">
        <v>170</v>
      </c>
      <c r="B37" s="13">
        <v>2731</v>
      </c>
      <c r="C37" s="14">
        <f>(2272/B37*100)</f>
        <v>83.192969608202134</v>
      </c>
      <c r="D37" s="15">
        <v>459</v>
      </c>
      <c r="E37" s="14">
        <v>22.55475891</v>
      </c>
      <c r="F37" s="16">
        <v>2.10938808</v>
      </c>
      <c r="G37" s="14">
        <v>26.777968000000001</v>
      </c>
      <c r="H37" s="16">
        <v>2.1652172300000001</v>
      </c>
      <c r="I37" s="14">
        <v>50.667273090000002</v>
      </c>
      <c r="J37" s="16">
        <v>2.5985802599999999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(2431/B39*100)</f>
        <v>82.743362831858406</v>
      </c>
      <c r="D39" s="15">
        <v>507</v>
      </c>
      <c r="E39" s="14">
        <v>47.514582859999997</v>
      </c>
      <c r="F39" s="16">
        <v>2.4475235299999998</v>
      </c>
      <c r="G39" s="14">
        <v>30.9212694</v>
      </c>
      <c r="H39" s="16">
        <v>2.2738988999999998</v>
      </c>
      <c r="I39" s="14">
        <v>21.564147739999999</v>
      </c>
      <c r="J39" s="16">
        <v>2.1653454600000002</v>
      </c>
      <c r="K39" s="14" t="s">
        <v>139</v>
      </c>
      <c r="L39" s="16" t="s">
        <v>139</v>
      </c>
      <c r="M39" s="14">
        <v>0</v>
      </c>
      <c r="N39" s="16">
        <v>0</v>
      </c>
      <c r="O39" s="14">
        <v>0</v>
      </c>
      <c r="P39" s="16">
        <v>0</v>
      </c>
      <c r="Q39" s="14">
        <v>0</v>
      </c>
      <c r="R39" s="16">
        <v>0</v>
      </c>
      <c r="S39" s="14">
        <v>0</v>
      </c>
      <c r="T39" s="16">
        <v>0</v>
      </c>
    </row>
    <row r="40" spans="1:20" x14ac:dyDescent="0.25">
      <c r="A40" s="11" t="s">
        <v>173</v>
      </c>
      <c r="B40" s="13">
        <v>6922</v>
      </c>
      <c r="C40" s="14">
        <f>(5709/B40*100)</f>
        <v>82.476162958682465</v>
      </c>
      <c r="D40" s="15">
        <v>1213</v>
      </c>
      <c r="E40" s="14">
        <v>19.41461177</v>
      </c>
      <c r="F40" s="16">
        <v>1.70851636</v>
      </c>
      <c r="G40" s="14">
        <v>34.979683510000001</v>
      </c>
      <c r="H40" s="16">
        <v>2.25836309</v>
      </c>
      <c r="I40" s="14">
        <v>45.605704709999998</v>
      </c>
      <c r="J40" s="16">
        <v>2.0650857500000002</v>
      </c>
      <c r="K40" s="14" t="s">
        <v>139</v>
      </c>
      <c r="L40" s="16" t="s">
        <v>139</v>
      </c>
      <c r="M40" s="14">
        <v>0</v>
      </c>
      <c r="N40" s="16">
        <v>0</v>
      </c>
      <c r="O40" s="14">
        <v>0</v>
      </c>
      <c r="P40" s="16">
        <v>0</v>
      </c>
      <c r="Q40" s="14">
        <v>0</v>
      </c>
      <c r="R40" s="16">
        <v>0</v>
      </c>
      <c r="S40" s="14">
        <v>0</v>
      </c>
      <c r="T40" s="16">
        <v>0</v>
      </c>
    </row>
    <row r="41" spans="1:20" x14ac:dyDescent="0.25">
      <c r="A41" s="11" t="s">
        <v>174</v>
      </c>
      <c r="B41" s="13">
        <v>2854</v>
      </c>
      <c r="C41" s="14">
        <f>(2379/B41*100)</f>
        <v>83.356692361597766</v>
      </c>
      <c r="D41" s="15">
        <v>475</v>
      </c>
      <c r="E41" s="14">
        <v>22.340198610000002</v>
      </c>
      <c r="F41" s="16">
        <v>2.1198643000000001</v>
      </c>
      <c r="G41" s="14">
        <v>28.612131210000001</v>
      </c>
      <c r="H41" s="16">
        <v>2.1577652399999998</v>
      </c>
      <c r="I41" s="14">
        <v>49.047670179999997</v>
      </c>
      <c r="J41" s="16">
        <v>2.3088520400000001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82.964889022018326</v>
      </c>
      <c r="D42" s="15">
        <f>IF(COUNT(D7:D41) &gt; 0, AVERAGE(D7:D41), "—")</f>
        <v>615.90625</v>
      </c>
      <c r="E42" s="14">
        <f>IF(COUNT(E7:E41) &gt; 0, AVERAGE(E7:E41), "—")</f>
        <v>22.697838311875003</v>
      </c>
      <c r="F42" s="16">
        <f>IF(COUNT(F7:F41) &gt; 0, SQRT(SUMSQ(F7:F41)/(COUNT(F7:F41)*COUNT(F7:F41)) ), "—")</f>
        <v>0.35521716147758797</v>
      </c>
      <c r="G42" s="14">
        <f>IF(COUNT(G7:G41) &gt; 0, AVERAGE(G7:G41), "—")</f>
        <v>27.763006458749999</v>
      </c>
      <c r="H42" s="16">
        <f>IF(COUNT(H7:H41) &gt; 0, SQRT(SUMSQ(H7:H41)/(COUNT(H7:H41)*COUNT(H7:H41)) ), "—")</f>
        <v>0.3682246956546506</v>
      </c>
      <c r="I42" s="14">
        <f>IF(COUNT(I7:I41) &gt; 0, AVERAGE(I7:I41), "—")</f>
        <v>49.539155229999984</v>
      </c>
      <c r="J42" s="16">
        <f>IF(COUNT(J7:J41) &gt; 0, SQRT(SUMSQ(J7:J41)/(COUNT(J7:J41)*COUNT(J7:J41)) ), "—")</f>
        <v>0.4073631614643769</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(10140/B46*100)</f>
        <v>83.989066512051693</v>
      </c>
      <c r="D46" s="15">
        <v>1933</v>
      </c>
      <c r="E46" s="14">
        <v>36.841444850000002</v>
      </c>
      <c r="F46" s="16">
        <v>1.2614244999999999</v>
      </c>
      <c r="G46" s="14">
        <v>33.032458169999998</v>
      </c>
      <c r="H46" s="16">
        <v>1.3036451499999999</v>
      </c>
      <c r="I46" s="14">
        <v>30.12609698</v>
      </c>
      <c r="J46" s="16">
        <v>1.25792309</v>
      </c>
      <c r="K46" s="14" t="s">
        <v>139</v>
      </c>
      <c r="L46" s="16" t="s">
        <v>139</v>
      </c>
      <c r="M46" s="14">
        <v>0</v>
      </c>
      <c r="N46" s="16">
        <v>0</v>
      </c>
      <c r="O46" s="14">
        <v>0</v>
      </c>
      <c r="P46" s="16">
        <v>0</v>
      </c>
      <c r="Q46" s="14">
        <v>0</v>
      </c>
      <c r="R46" s="16">
        <v>0</v>
      </c>
      <c r="S46" s="14">
        <v>0</v>
      </c>
      <c r="T46" s="16">
        <v>0</v>
      </c>
    </row>
    <row r="47" spans="1:20" x14ac:dyDescent="0.25">
      <c r="A47" s="11" t="s">
        <v>180</v>
      </c>
      <c r="B47" s="13">
        <v>2823</v>
      </c>
      <c r="C47" s="14">
        <f>(2336/B47*100)</f>
        <v>82.748848742472546</v>
      </c>
      <c r="D47" s="15">
        <v>487</v>
      </c>
      <c r="E47" s="14">
        <v>33.010850050000002</v>
      </c>
      <c r="F47" s="16">
        <v>2.5333148300000001</v>
      </c>
      <c r="G47" s="14">
        <v>30.902051449999998</v>
      </c>
      <c r="H47" s="16">
        <v>2.3612859899999998</v>
      </c>
      <c r="I47" s="14">
        <v>36.087098500000003</v>
      </c>
      <c r="J47" s="16">
        <v>2.50585192</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(3883/B48*100)</f>
        <v>82.934643314822722</v>
      </c>
      <c r="D48" s="15">
        <v>799</v>
      </c>
      <c r="E48" s="14">
        <v>31.388563850000001</v>
      </c>
      <c r="F48" s="16">
        <v>2.0312522</v>
      </c>
      <c r="G48" s="14">
        <v>35.796417050000002</v>
      </c>
      <c r="H48" s="16">
        <v>2.19178271</v>
      </c>
      <c r="I48" s="14">
        <v>32.815019110000001</v>
      </c>
      <c r="J48" s="16">
        <v>2.2588731100000001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(5100/B50*100)</f>
        <v>82.819097109451121</v>
      </c>
      <c r="D50" s="15">
        <v>1058</v>
      </c>
      <c r="E50" s="14">
        <v>34.459563690000003</v>
      </c>
      <c r="F50" s="16">
        <v>2.23100247</v>
      </c>
      <c r="G50" s="14">
        <v>30.189205149999999</v>
      </c>
      <c r="H50" s="16">
        <v>1.9752521199999999</v>
      </c>
      <c r="I50" s="14">
        <v>35.351231159999998</v>
      </c>
      <c r="J50" s="16">
        <v>2.4275134</v>
      </c>
      <c r="K50" s="14" t="s">
        <v>139</v>
      </c>
      <c r="L50" s="16" t="s">
        <v>139</v>
      </c>
      <c r="M50" s="14">
        <v>0</v>
      </c>
      <c r="N50" s="16">
        <v>0</v>
      </c>
      <c r="O50" s="14">
        <v>0</v>
      </c>
      <c r="P50" s="16">
        <v>0</v>
      </c>
      <c r="Q50" s="14">
        <v>0</v>
      </c>
      <c r="R50" s="16">
        <v>0</v>
      </c>
      <c r="S50" s="14">
        <v>0</v>
      </c>
      <c r="T50" s="16">
        <v>0</v>
      </c>
    </row>
    <row r="51" spans="1:20" x14ac:dyDescent="0.25">
      <c r="A51" s="11" t="s">
        <v>184</v>
      </c>
      <c r="B51" s="13">
        <v>3494</v>
      </c>
      <c r="C51" s="14">
        <f>(2954/B51*100)</f>
        <v>84.544934172867769</v>
      </c>
      <c r="D51" s="15">
        <v>540</v>
      </c>
      <c r="E51" s="14">
        <v>34.16213733</v>
      </c>
      <c r="F51" s="16">
        <v>2.4124071599999999</v>
      </c>
      <c r="G51" s="14">
        <v>33.259538749999997</v>
      </c>
      <c r="H51" s="16">
        <v>2.0138339900000002</v>
      </c>
      <c r="I51" s="14">
        <v>32.578323910000002</v>
      </c>
      <c r="J51" s="16">
        <v>2.3675741700000001</v>
      </c>
      <c r="K51" s="14" t="s">
        <v>139</v>
      </c>
      <c r="L51" s="16" t="s">
        <v>139</v>
      </c>
      <c r="M51" s="14">
        <v>0</v>
      </c>
      <c r="N51" s="16">
        <v>0</v>
      </c>
      <c r="O51" s="14">
        <v>0</v>
      </c>
      <c r="P51" s="16">
        <v>0</v>
      </c>
      <c r="Q51" s="14">
        <v>0</v>
      </c>
      <c r="R51" s="16">
        <v>0</v>
      </c>
      <c r="S51" s="14">
        <v>0</v>
      </c>
      <c r="T51" s="16">
        <v>0</v>
      </c>
    </row>
    <row r="52" spans="1:20" x14ac:dyDescent="0.25">
      <c r="A52" s="11" t="s">
        <v>185</v>
      </c>
      <c r="B52" s="13">
        <v>3013</v>
      </c>
      <c r="C52" s="14">
        <f>(2480/B52*100)</f>
        <v>82.309990043146371</v>
      </c>
      <c r="D52" s="15">
        <v>533</v>
      </c>
      <c r="E52" s="14">
        <v>32.738042030000003</v>
      </c>
      <c r="F52" s="16">
        <v>2.1786726700000001</v>
      </c>
      <c r="G52" s="14">
        <v>30.06197332</v>
      </c>
      <c r="H52" s="16">
        <v>2.0625267200000001</v>
      </c>
      <c r="I52" s="14">
        <v>37.199984649999998</v>
      </c>
      <c r="J52" s="16">
        <v>1.98394078</v>
      </c>
      <c r="K52" s="14" t="s">
        <v>139</v>
      </c>
      <c r="L52" s="16" t="s">
        <v>139</v>
      </c>
      <c r="M52" s="14">
        <v>0</v>
      </c>
      <c r="N52" s="16">
        <v>0</v>
      </c>
      <c r="O52" s="14">
        <v>0</v>
      </c>
      <c r="P52" s="16">
        <v>0</v>
      </c>
      <c r="Q52" s="14">
        <v>0</v>
      </c>
      <c r="R52" s="16">
        <v>0</v>
      </c>
      <c r="S52" s="14">
        <v>0</v>
      </c>
      <c r="T52" s="16">
        <v>0</v>
      </c>
    </row>
    <row r="53" spans="1:20" x14ac:dyDescent="0.25">
      <c r="A53" s="11" t="s">
        <v>186</v>
      </c>
      <c r="B53" s="13">
        <v>2760</v>
      </c>
      <c r="C53" s="14">
        <f>(2283/B53*100)</f>
        <v>82.717391304347828</v>
      </c>
      <c r="D53" s="15">
        <v>477</v>
      </c>
      <c r="E53" s="14">
        <v>42.670349100000003</v>
      </c>
      <c r="F53" s="16">
        <v>2.2894974499999998</v>
      </c>
      <c r="G53" s="14">
        <v>29.297431029999998</v>
      </c>
      <c r="H53" s="16">
        <v>2.2909963900000001</v>
      </c>
      <c r="I53" s="14">
        <v>28.032219869999999</v>
      </c>
      <c r="J53" s="16">
        <v>2.5194200599999999</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(2214/B56*100)</f>
        <v>82.766355140186917</v>
      </c>
      <c r="D56" s="15">
        <v>461</v>
      </c>
      <c r="E56" s="14">
        <v>28.174654449999998</v>
      </c>
      <c r="F56" s="16">
        <v>2.0596850899999999</v>
      </c>
      <c r="G56" s="14">
        <v>30.799045540000002</v>
      </c>
      <c r="H56" s="16">
        <v>2.1393347</v>
      </c>
      <c r="I56" s="14">
        <v>41.02630001</v>
      </c>
      <c r="J56" s="16">
        <v>2.46257123</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(2641/B61*100)</f>
        <v>82.505467041549522</v>
      </c>
      <c r="D61" s="15">
        <v>560</v>
      </c>
      <c r="E61" s="14">
        <v>30.568548809999999</v>
      </c>
      <c r="F61" s="16">
        <v>2.20201526</v>
      </c>
      <c r="G61" s="14">
        <v>31.182721900000001</v>
      </c>
      <c r="H61" s="16">
        <v>2.6664776699999999</v>
      </c>
      <c r="I61" s="14">
        <v>38.24872929</v>
      </c>
      <c r="J61" s="16">
        <v>2.3474385099999999</v>
      </c>
      <c r="K61" s="14" t="s">
        <v>139</v>
      </c>
      <c r="L61" s="16" t="s">
        <v>139</v>
      </c>
      <c r="M61" s="14">
        <v>0</v>
      </c>
      <c r="N61" s="16">
        <v>0</v>
      </c>
      <c r="O61" s="14">
        <v>0</v>
      </c>
      <c r="P61" s="16">
        <v>0</v>
      </c>
      <c r="Q61" s="14">
        <v>0</v>
      </c>
      <c r="R61" s="16">
        <v>0</v>
      </c>
      <c r="S61" s="14">
        <v>0</v>
      </c>
      <c r="T61" s="16">
        <v>0</v>
      </c>
    </row>
    <row r="62" spans="1:20" x14ac:dyDescent="0.25">
      <c r="A62" s="11" t="s">
        <v>195</v>
      </c>
      <c r="B62" s="13">
        <v>2230</v>
      </c>
      <c r="C62" s="14">
        <f>(1838/B62*100)</f>
        <v>82.421524663677133</v>
      </c>
      <c r="D62" s="15">
        <v>392</v>
      </c>
      <c r="E62" s="14">
        <v>30.13860442</v>
      </c>
      <c r="F62" s="16">
        <v>2.4415234200000002</v>
      </c>
      <c r="G62" s="14">
        <v>31.400666659999999</v>
      </c>
      <c r="H62" s="16">
        <v>2.3099453300000001</v>
      </c>
      <c r="I62" s="14">
        <v>38.460728920000001</v>
      </c>
      <c r="J62" s="16">
        <v>2.5477553199999998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(2289/B66*100)</f>
        <v>82.605557560447494</v>
      </c>
      <c r="D66" s="15">
        <v>482</v>
      </c>
      <c r="E66" s="14">
        <v>40.20776712</v>
      </c>
      <c r="F66" s="16">
        <v>2.0432867400000001</v>
      </c>
      <c r="G66" s="14">
        <v>27.34880515</v>
      </c>
      <c r="H66" s="16">
        <v>2.0296077399999999</v>
      </c>
      <c r="I66" s="14">
        <v>32.443427730000003</v>
      </c>
      <c r="J66" s="16">
        <v>2.15038273</v>
      </c>
      <c r="K66" s="14" t="s">
        <v>139</v>
      </c>
      <c r="L66" s="16" t="s">
        <v>139</v>
      </c>
      <c r="M66" s="14">
        <v>0</v>
      </c>
      <c r="N66" s="16">
        <v>0</v>
      </c>
      <c r="O66" s="14">
        <v>0</v>
      </c>
      <c r="P66" s="16">
        <v>0</v>
      </c>
      <c r="Q66" s="14">
        <v>0</v>
      </c>
      <c r="R66" s="16">
        <v>0</v>
      </c>
      <c r="S66" s="14">
        <v>0</v>
      </c>
      <c r="T66" s="16">
        <v>0</v>
      </c>
    </row>
    <row r="67" spans="1:20" x14ac:dyDescent="0.25">
      <c r="A67" s="11" t="s">
        <v>200</v>
      </c>
      <c r="B67" s="13">
        <v>3460</v>
      </c>
      <c r="C67" s="14">
        <f>(2915/B67*100)</f>
        <v>84.248554913294797</v>
      </c>
      <c r="D67" s="15">
        <v>545</v>
      </c>
      <c r="E67" s="14">
        <v>37.148578630000003</v>
      </c>
      <c r="F67" s="16">
        <v>1.91741037</v>
      </c>
      <c r="G67" s="14">
        <v>34.893239719999997</v>
      </c>
      <c r="H67" s="16">
        <v>1.7826267899999999</v>
      </c>
      <c r="I67" s="14">
        <v>27.95818165</v>
      </c>
      <c r="J67" s="16">
        <v>1.9466956200000001</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(2566/B70*100)</f>
        <v>82.58770518184744</v>
      </c>
      <c r="D70" s="15">
        <v>541</v>
      </c>
      <c r="E70" s="14">
        <v>21.202192320000002</v>
      </c>
      <c r="F70" s="16">
        <v>1.8400442400000001</v>
      </c>
      <c r="G70" s="14">
        <v>28.112888940000001</v>
      </c>
      <c r="H70" s="16">
        <v>2.27112128</v>
      </c>
      <c r="I70" s="14">
        <v>50.684918740000001</v>
      </c>
      <c r="J70" s="16">
        <v>2.3862965900000002</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(3169/B72*100)</f>
        <v>82.979837653836086</v>
      </c>
      <c r="D72" s="15">
        <v>650</v>
      </c>
      <c r="E72" s="14">
        <v>28.792117359999999</v>
      </c>
      <c r="F72" s="16">
        <v>2.0729416299999999</v>
      </c>
      <c r="G72" s="14">
        <v>36.651663300000003</v>
      </c>
      <c r="H72" s="16">
        <v>2.0528543199999998</v>
      </c>
      <c r="I72" s="14">
        <v>34.556219339999998</v>
      </c>
      <c r="J72" s="16">
        <v>2.14901477</v>
      </c>
      <c r="K72" s="14" t="s">
        <v>139</v>
      </c>
      <c r="L72" s="16" t="s">
        <v>139</v>
      </c>
      <c r="M72" s="14">
        <v>0</v>
      </c>
      <c r="N72" s="16">
        <v>0</v>
      </c>
      <c r="O72" s="14">
        <v>0</v>
      </c>
      <c r="P72" s="16">
        <v>0</v>
      </c>
      <c r="Q72" s="14">
        <v>0</v>
      </c>
      <c r="R72" s="16">
        <v>0</v>
      </c>
      <c r="S72" s="14">
        <v>0</v>
      </c>
      <c r="T72" s="16">
        <v>0</v>
      </c>
    </row>
    <row r="73" spans="1:20" x14ac:dyDescent="0.25">
      <c r="A73" s="11" t="s">
        <v>206</v>
      </c>
      <c r="B73" s="13">
        <v>4652</v>
      </c>
      <c r="C73" s="14">
        <f>(3857/B73*100)</f>
        <v>82.910576096302663</v>
      </c>
      <c r="D73" s="15">
        <v>795</v>
      </c>
      <c r="E73" s="14">
        <v>37.121380129999999</v>
      </c>
      <c r="F73" s="16">
        <v>2.0471858200000002</v>
      </c>
      <c r="G73" s="14">
        <v>33.26536565</v>
      </c>
      <c r="H73" s="16">
        <v>2.1474882599999998</v>
      </c>
      <c r="I73" s="14">
        <v>29.613254229999999</v>
      </c>
      <c r="J73" s="16">
        <v>2.2527283900000001</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(2496/B75*100)</f>
        <v>84.068710003368139</v>
      </c>
      <c r="D75" s="15">
        <v>473</v>
      </c>
      <c r="E75" s="14">
        <v>50.790826590000002</v>
      </c>
      <c r="F75" s="16">
        <v>2.3376612200000002</v>
      </c>
      <c r="G75" s="14">
        <v>31.116658300000001</v>
      </c>
      <c r="H75" s="16">
        <v>2.06020417</v>
      </c>
      <c r="I75" s="14">
        <v>18.092515110000001</v>
      </c>
      <c r="J75" s="16">
        <v>1.8492167399999999</v>
      </c>
      <c r="K75" s="14" t="s">
        <v>139</v>
      </c>
      <c r="L75" s="16" t="s">
        <v>139</v>
      </c>
      <c r="M75" s="14">
        <v>0</v>
      </c>
      <c r="N75" s="16">
        <v>0</v>
      </c>
      <c r="O75" s="14">
        <v>0</v>
      </c>
      <c r="P75" s="16">
        <v>0</v>
      </c>
      <c r="Q75" s="14">
        <v>0</v>
      </c>
      <c r="R75" s="16">
        <v>0</v>
      </c>
      <c r="S75" s="14">
        <v>0</v>
      </c>
      <c r="T75" s="16">
        <v>0</v>
      </c>
    </row>
    <row r="76" spans="1:20" x14ac:dyDescent="0.25">
      <c r="A76" s="11" t="s">
        <v>209</v>
      </c>
      <c r="B76" s="13">
        <v>7115</v>
      </c>
      <c r="C76" s="14">
        <f>(5900/B76*100)</f>
        <v>82.923401264933233</v>
      </c>
      <c r="D76" s="15">
        <v>1215</v>
      </c>
      <c r="E76" s="14">
        <v>35.626651639999999</v>
      </c>
      <c r="F76" s="16">
        <v>1.87633731</v>
      </c>
      <c r="G76" s="14">
        <v>31.66447015</v>
      </c>
      <c r="H76" s="16">
        <v>1.50566043</v>
      </c>
      <c r="I76" s="14">
        <v>32.708878210000002</v>
      </c>
      <c r="J76" s="16">
        <v>1.5544473700000001</v>
      </c>
      <c r="K76" s="14" t="s">
        <v>139</v>
      </c>
      <c r="L76" s="16" t="s">
        <v>139</v>
      </c>
      <c r="M76" s="14">
        <v>0</v>
      </c>
      <c r="N76" s="16">
        <v>0</v>
      </c>
      <c r="O76" s="14">
        <v>0</v>
      </c>
      <c r="P76" s="16">
        <v>0</v>
      </c>
      <c r="Q76" s="14">
        <v>0</v>
      </c>
      <c r="R76" s="16">
        <v>0</v>
      </c>
      <c r="S76" s="14">
        <v>0</v>
      </c>
      <c r="T76" s="16">
        <v>0</v>
      </c>
    </row>
    <row r="77" spans="1:20" x14ac:dyDescent="0.25">
      <c r="A77" s="11" t="s">
        <v>210</v>
      </c>
      <c r="B77" s="13">
        <v>3154</v>
      </c>
      <c r="C77" s="14">
        <f>(2596/B77*100)</f>
        <v>82.308180088776169</v>
      </c>
      <c r="D77" s="15">
        <v>558</v>
      </c>
      <c r="E77" s="14">
        <v>35.154338029999998</v>
      </c>
      <c r="F77" s="16">
        <v>2.1431139400000001</v>
      </c>
      <c r="G77" s="14">
        <v>32.869414839999997</v>
      </c>
      <c r="H77" s="16">
        <v>2.1572684500000001</v>
      </c>
      <c r="I77" s="14">
        <v>31.976247130000001</v>
      </c>
      <c r="J77" s="16">
        <v>2.02964273</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(3900/B81*100)</f>
        <v>83.014048531289902</v>
      </c>
      <c r="D81" s="15">
        <v>798</v>
      </c>
      <c r="E81" s="14">
        <v>37.954224080000003</v>
      </c>
      <c r="F81" s="16">
        <v>2.0700416399999999</v>
      </c>
      <c r="G81" s="14">
        <v>34.93119746</v>
      </c>
      <c r="H81" s="16">
        <v>2.1433059299999999</v>
      </c>
      <c r="I81" s="14">
        <v>27.11457845</v>
      </c>
      <c r="J81" s="16">
        <v>1.8274721599999999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68.976341599999998</v>
      </c>
      <c r="F7" s="16">
        <v>1.4286074</v>
      </c>
      <c r="G7" s="14">
        <v>31.023658399999999</v>
      </c>
      <c r="H7" s="16">
        <v>1.4286074</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70.286774820000005</v>
      </c>
      <c r="F8" s="16">
        <v>1.89835043</v>
      </c>
      <c r="G8" s="14">
        <v>29.713225179999998</v>
      </c>
      <c r="H8" s="16">
        <v>1.89835043</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53.701569460000002</v>
      </c>
      <c r="F9" s="16">
        <v>1.7823325299999999</v>
      </c>
      <c r="G9" s="14">
        <v>46.298430539999998</v>
      </c>
      <c r="H9" s="16">
        <v>1.7823325299999999</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65.810313120000004</v>
      </c>
      <c r="F10" s="16">
        <v>1.6736944899999999</v>
      </c>
      <c r="G10" s="14">
        <v>34.189686879999996</v>
      </c>
      <c r="H10" s="16">
        <v>1.6736944899999999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82.001990910000004</v>
      </c>
      <c r="F11" s="16">
        <v>1.82109732</v>
      </c>
      <c r="G11" s="14">
        <v>17.99800909</v>
      </c>
      <c r="H11" s="16">
        <v>1.82109732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61.950802490000001</v>
      </c>
      <c r="F12" s="16">
        <v>2.1493873400000001</v>
      </c>
      <c r="G12" s="14">
        <v>38.049197509999999</v>
      </c>
      <c r="H12" s="16">
        <v>2.1493873400000001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64.207796209999998</v>
      </c>
      <c r="F13" s="16">
        <v>2.2586278399999999</v>
      </c>
      <c r="G13" s="14">
        <v>35.792203790000002</v>
      </c>
      <c r="H13" s="16">
        <v>2.2586278399999999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57.573796430000002</v>
      </c>
      <c r="F14" s="16">
        <v>2.57834348</v>
      </c>
      <c r="G14" s="14">
        <v>42.426203569999998</v>
      </c>
      <c r="H14" s="16">
        <v>2.57834348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62.138088830000001</v>
      </c>
      <c r="F15" s="16">
        <v>2.3304859000000002</v>
      </c>
      <c r="G15" s="14">
        <v>37.861911169999999</v>
      </c>
      <c r="H15" s="16">
        <v>2.3304859000000002</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56.792315019999997</v>
      </c>
      <c r="F16" s="16">
        <v>2.3721954900000002</v>
      </c>
      <c r="G16" s="14">
        <v>43.207684980000003</v>
      </c>
      <c r="H16" s="16">
        <v>2.3721954900000002</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69.471821849999998</v>
      </c>
      <c r="F17" s="16">
        <v>1.7771990600000001</v>
      </c>
      <c r="G17" s="14">
        <v>30.528178149999999</v>
      </c>
      <c r="H17" s="16">
        <v>1.7771990600000001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59.14168334</v>
      </c>
      <c r="F18" s="16">
        <v>2.3293649900000002</v>
      </c>
      <c r="G18" s="14">
        <v>40.85831666</v>
      </c>
      <c r="H18" s="16">
        <v>2.3293649900000002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47.00047825</v>
      </c>
      <c r="F19" s="16">
        <v>2.7367189199999999</v>
      </c>
      <c r="G19" s="14">
        <v>52.99952175</v>
      </c>
      <c r="H19" s="16">
        <v>2.7367189199999999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72.023962740000002</v>
      </c>
      <c r="F20" s="16">
        <v>2.2856475700000001</v>
      </c>
      <c r="G20" s="14">
        <v>27.976037259999998</v>
      </c>
      <c r="H20" s="16">
        <v>2.2856475700000001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60.798160709999998</v>
      </c>
      <c r="F22" s="16">
        <v>2.4662080099999999</v>
      </c>
      <c r="G22" s="14">
        <v>39.201839290000002</v>
      </c>
      <c r="H22" s="16">
        <v>2.4662080099999999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67.681510860000003</v>
      </c>
      <c r="F23" s="16">
        <v>2.1042345099999999</v>
      </c>
      <c r="G23" s="14">
        <v>32.318489139999997</v>
      </c>
      <c r="H23" s="16">
        <v>2.1042345099999999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39.726535050000003</v>
      </c>
      <c r="F24" s="16">
        <v>2.0196613800000001</v>
      </c>
      <c r="G24" s="14">
        <v>60.273464949999997</v>
      </c>
      <c r="H24" s="16">
        <v>2.0196613800000001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55.23334345</v>
      </c>
      <c r="F25" s="16">
        <v>2.3647989200000001</v>
      </c>
      <c r="G25" s="14">
        <v>44.76665655</v>
      </c>
      <c r="H25" s="16">
        <v>2.3647989200000001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64.491630439999994</v>
      </c>
      <c r="F26" s="16">
        <v>2.6016158699999998</v>
      </c>
      <c r="G26" s="14">
        <v>35.508369559999998</v>
      </c>
      <c r="H26" s="16">
        <v>2.6016158699999998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69.585467840000007</v>
      </c>
      <c r="F27" s="16">
        <v>2.0614176999999998</v>
      </c>
      <c r="G27" s="14">
        <v>30.41453216</v>
      </c>
      <c r="H27" s="16">
        <v>2.0614176999999998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67.993307310000006</v>
      </c>
      <c r="F28" s="16">
        <v>1.97400145</v>
      </c>
      <c r="G28" s="14">
        <v>32.006692690000001</v>
      </c>
      <c r="H28" s="16">
        <v>1.97400145</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63.959747450000002</v>
      </c>
      <c r="F29" s="16">
        <v>2.22246392</v>
      </c>
      <c r="G29" s="14">
        <v>36.040252549999998</v>
      </c>
      <c r="H29" s="16">
        <v>2.22246392</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70.506444459999997</v>
      </c>
      <c r="F30" s="16">
        <v>2.2686286400000002</v>
      </c>
      <c r="G30" s="14">
        <v>29.493555539999999</v>
      </c>
      <c r="H30" s="16">
        <v>2.2686286400000002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72.219333719999995</v>
      </c>
      <c r="F31" s="16">
        <v>1.7351325799999999</v>
      </c>
      <c r="G31" s="14">
        <v>27.780666279999998</v>
      </c>
      <c r="H31" s="16">
        <v>1.7351325799999999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73.540963000000005</v>
      </c>
      <c r="F33" s="16">
        <v>2.1026389700000001</v>
      </c>
      <c r="G33" s="14">
        <v>26.459036999999999</v>
      </c>
      <c r="H33" s="16">
        <v>2.1026389700000001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67.340385729999994</v>
      </c>
      <c r="F34" s="16">
        <v>2.0571333200000002</v>
      </c>
      <c r="G34" s="14">
        <v>32.659614269999999</v>
      </c>
      <c r="H34" s="16">
        <v>2.0571333200000002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56.046204549999999</v>
      </c>
      <c r="F35" s="16">
        <v>3.2320292199999998</v>
      </c>
      <c r="G35" s="14">
        <v>43.953795450000001</v>
      </c>
      <c r="H35" s="16">
        <v>3.2320292199999998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65.828937179999997</v>
      </c>
      <c r="F36" s="16">
        <v>2.14524968</v>
      </c>
      <c r="G36" s="14">
        <v>34.171062820000003</v>
      </c>
      <c r="H36" s="16">
        <v>2.14524968</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65.29319572</v>
      </c>
      <c r="F37" s="16">
        <v>2.3462394999999998</v>
      </c>
      <c r="G37" s="14">
        <v>34.70680428</v>
      </c>
      <c r="H37" s="16">
        <v>2.3462394999999998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63.210758239999997</v>
      </c>
      <c r="F39" s="16">
        <v>2.4247973799999998</v>
      </c>
      <c r="G39" s="14">
        <v>36.789241760000003</v>
      </c>
      <c r="H39" s="16">
        <v>2.4247973799999998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77.245860539999995</v>
      </c>
      <c r="F40" s="16">
        <v>1.5684626100000001</v>
      </c>
      <c r="G40" s="14">
        <v>22.754139460000001</v>
      </c>
      <c r="H40" s="16">
        <v>1.5684626100000001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70.748123609999993</v>
      </c>
      <c r="F41" s="16">
        <v>2.1447791500000002</v>
      </c>
      <c r="G41" s="14">
        <v>29.25187639</v>
      </c>
      <c r="H41" s="16">
        <v>2.1447791500000002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64.453988904062498</v>
      </c>
      <c r="F42" s="16">
        <f>IF(COUNT(F7:F41) &gt; 0, SQRT(SUMSQ(F7:F41)/(COUNT(F7:F41)*COUNT(F7:F41)) ), "—")</f>
        <v>0.38780602901399158</v>
      </c>
      <c r="G42" s="14">
        <f>IF(COUNT(G7:G41) &gt; 0, AVERAGE(G7:G41), "—")</f>
        <v>35.546011095937502</v>
      </c>
      <c r="H42" s="16">
        <f>IF(COUNT(H7:H41) &gt; 0, SQRT(SUMSQ(H7:H41)/(COUNT(H7:H41)*COUNT(H7:H41)) ), "—")</f>
        <v>0.38780602901399158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73.101509120000003</v>
      </c>
      <c r="F46" s="16">
        <v>1.3198969599999999</v>
      </c>
      <c r="G46" s="14">
        <v>26.898490880000001</v>
      </c>
      <c r="H46" s="16">
        <v>1.3198969599999999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60.620732289999999</v>
      </c>
      <c r="F47" s="16">
        <v>2.2558695499999999</v>
      </c>
      <c r="G47" s="14">
        <v>39.379267710000001</v>
      </c>
      <c r="H47" s="16">
        <v>2.2558695499999999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56.155621060000001</v>
      </c>
      <c r="F48" s="16">
        <v>2.2661864199999999</v>
      </c>
      <c r="G48" s="14">
        <v>43.844378939999999</v>
      </c>
      <c r="H48" s="16">
        <v>2.2661864199999999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73.238276249999998</v>
      </c>
      <c r="F50" s="16">
        <v>2.18125539</v>
      </c>
      <c r="G50" s="14">
        <v>26.761723750000002</v>
      </c>
      <c r="H50" s="16">
        <v>2.18125539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65.874798760000004</v>
      </c>
      <c r="F51" s="16">
        <v>2.4111549600000002</v>
      </c>
      <c r="G51" s="14">
        <v>34.125201240000003</v>
      </c>
      <c r="H51" s="16">
        <v>2.4111549600000002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58.51181527</v>
      </c>
      <c r="F52" s="16">
        <v>2.36210152</v>
      </c>
      <c r="G52" s="14">
        <v>41.48818473</v>
      </c>
      <c r="H52" s="16">
        <v>2.36210152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(2288/B53*100)</f>
        <v>82.898550724637673</v>
      </c>
      <c r="D53" s="15">
        <v>472</v>
      </c>
      <c r="E53" s="14">
        <v>80.271020280000002</v>
      </c>
      <c r="F53" s="16">
        <v>1.7846850400000001</v>
      </c>
      <c r="G53" s="14">
        <v>19.728979720000002</v>
      </c>
      <c r="H53" s="16">
        <v>1.7846850400000001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37.105109149999997</v>
      </c>
      <c r="F56" s="16">
        <v>2.45641993</v>
      </c>
      <c r="G56" s="14">
        <v>62.894890850000003</v>
      </c>
      <c r="H56" s="16">
        <v>2.45641993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64.419368550000002</v>
      </c>
      <c r="F61" s="16">
        <v>2.3126508700000001</v>
      </c>
      <c r="G61" s="14">
        <v>35.580631449999998</v>
      </c>
      <c r="H61" s="16">
        <v>2.3126508700000001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47.284682930000002</v>
      </c>
      <c r="F62" s="16">
        <v>2.2505694300000001</v>
      </c>
      <c r="G62" s="14">
        <v>52.715317069999998</v>
      </c>
      <c r="H62" s="16">
        <v>2.2505694300000001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72.583312590000006</v>
      </c>
      <c r="F66" s="16">
        <v>2.1015472100000001</v>
      </c>
      <c r="G66" s="14">
        <v>27.416687410000002</v>
      </c>
      <c r="H66" s="16">
        <v>2.1015472100000001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(2945/B67*100)</f>
        <v>85.115606936416185</v>
      </c>
      <c r="D67" s="15">
        <v>515</v>
      </c>
      <c r="E67" s="14">
        <v>71.033448890000003</v>
      </c>
      <c r="F67" s="16">
        <v>2.42996078</v>
      </c>
      <c r="G67" s="14">
        <v>28.966551110000001</v>
      </c>
      <c r="H67" s="16">
        <v>2.42996078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67.683680030000005</v>
      </c>
      <c r="F70" s="16">
        <v>2.0834815299999998</v>
      </c>
      <c r="G70" s="14">
        <v>32.316319970000002</v>
      </c>
      <c r="H70" s="16">
        <v>2.0834815299999998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46.826391370000003</v>
      </c>
      <c r="F72" s="16">
        <v>2.11791134</v>
      </c>
      <c r="G72" s="14">
        <v>53.173608629999997</v>
      </c>
      <c r="H72" s="16">
        <v>2.11791134</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57.908440980000002</v>
      </c>
      <c r="F73" s="16">
        <v>2.0313610999999998</v>
      </c>
      <c r="G73" s="14">
        <v>42.091559019999998</v>
      </c>
      <c r="H73" s="16">
        <v>2.0313610999999998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63.485324990000002</v>
      </c>
      <c r="F75" s="16">
        <v>2.1796913899999999</v>
      </c>
      <c r="G75" s="14">
        <v>36.514675009999998</v>
      </c>
      <c r="H75" s="16">
        <v>2.1796913899999999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72.218760610000004</v>
      </c>
      <c r="F76" s="16">
        <v>1.58259156</v>
      </c>
      <c r="G76" s="14">
        <v>27.78123939</v>
      </c>
      <c r="H76" s="16">
        <v>1.58259156</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(2609/B77*100)</f>
        <v>82.720355104629036</v>
      </c>
      <c r="D77" s="15">
        <v>545</v>
      </c>
      <c r="E77" s="14">
        <v>78.746752130000004</v>
      </c>
      <c r="F77" s="16">
        <v>1.88628124</v>
      </c>
      <c r="G77" s="14">
        <v>21.253247869999999</v>
      </c>
      <c r="H77" s="16">
        <v>1.88628124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77.498592639999998</v>
      </c>
      <c r="F81" s="16">
        <v>1.79211893</v>
      </c>
      <c r="G81" s="14">
        <v>22.501407360000002</v>
      </c>
      <c r="H81" s="16">
        <v>1.79211893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66.545136659999997</v>
      </c>
      <c r="F7" s="16">
        <v>1.53634271</v>
      </c>
      <c r="G7" s="14">
        <v>33.454863340000003</v>
      </c>
      <c r="H7" s="16">
        <v>1.53634271</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59.111084920000003</v>
      </c>
      <c r="F8" s="16">
        <v>2.0815669400000001</v>
      </c>
      <c r="G8" s="14">
        <v>40.888915079999997</v>
      </c>
      <c r="H8" s="16">
        <v>2.0815669400000001</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75.212733560000004</v>
      </c>
      <c r="F9" s="16">
        <v>1.7926669</v>
      </c>
      <c r="G9" s="14">
        <v>24.78726644</v>
      </c>
      <c r="H9" s="16">
        <v>1.7926669</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70.442598860000004</v>
      </c>
      <c r="F10" s="16">
        <v>1.61442413</v>
      </c>
      <c r="G10" s="14">
        <v>29.55740114</v>
      </c>
      <c r="H10" s="16">
        <v>1.61442413</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64.5802762</v>
      </c>
      <c r="F11" s="16">
        <v>2.45855238</v>
      </c>
      <c r="G11" s="14">
        <v>35.4197238</v>
      </c>
      <c r="H11" s="16">
        <v>2.45855238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62.99248824</v>
      </c>
      <c r="F12" s="16">
        <v>2.11793049</v>
      </c>
      <c r="G12" s="14">
        <v>37.00751176</v>
      </c>
      <c r="H12" s="16">
        <v>2.11793049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71.859876490000005</v>
      </c>
      <c r="F13" s="16">
        <v>1.9879347300000001</v>
      </c>
      <c r="G13" s="14">
        <v>28.140123509999999</v>
      </c>
      <c r="H13" s="16">
        <v>1.9879347300000001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54.328322620000002</v>
      </c>
      <c r="F14" s="16">
        <v>2.7117716700000001</v>
      </c>
      <c r="G14" s="14">
        <v>45.671677379999998</v>
      </c>
      <c r="H14" s="16">
        <v>2.7117716700000001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48.294772950000002</v>
      </c>
      <c r="F15" s="16">
        <v>2.1324883400000001</v>
      </c>
      <c r="G15" s="14">
        <v>51.705227049999998</v>
      </c>
      <c r="H15" s="16">
        <v>2.1324883400000001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3197</v>
      </c>
      <c r="C17" s="14">
        <f>(2645/B17*100)</f>
        <v>82.733812949640281</v>
      </c>
      <c r="D17" s="15">
        <v>552</v>
      </c>
      <c r="E17" s="14">
        <v>63.262610879999997</v>
      </c>
      <c r="F17" s="16">
        <v>1.85428331</v>
      </c>
      <c r="G17" s="14">
        <v>36.737389120000003</v>
      </c>
      <c r="H17" s="16">
        <v>1.85428331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65.545235309999995</v>
      </c>
      <c r="F18" s="16">
        <v>2.7659787499999999</v>
      </c>
      <c r="G18" s="14">
        <v>34.454764689999998</v>
      </c>
      <c r="H18" s="16">
        <v>2.7659787499999999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55.117939939999999</v>
      </c>
      <c r="F19" s="16">
        <v>2.4013534600000002</v>
      </c>
      <c r="G19" s="14">
        <v>44.882060060000001</v>
      </c>
      <c r="H19" s="16">
        <v>2.4013534600000002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55.529091950000002</v>
      </c>
      <c r="F20" s="16">
        <v>3.1596743900000002</v>
      </c>
      <c r="G20" s="14">
        <v>44.470908049999998</v>
      </c>
      <c r="H20" s="16">
        <v>3.1596743900000002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60.389659739999999</v>
      </c>
      <c r="F22" s="16">
        <v>2.2620496299999999</v>
      </c>
      <c r="G22" s="14">
        <v>39.610340260000001</v>
      </c>
      <c r="H22" s="16">
        <v>2.2620496299999999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69.276030559999995</v>
      </c>
      <c r="F23" s="16">
        <v>2.3681010699999998</v>
      </c>
      <c r="G23" s="14">
        <v>30.723969440000001</v>
      </c>
      <c r="H23" s="16">
        <v>2.3681010699999998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69.980983910000006</v>
      </c>
      <c r="F24" s="16">
        <v>1.7445392200000001</v>
      </c>
      <c r="G24" s="14">
        <v>30.019016090000001</v>
      </c>
      <c r="H24" s="16">
        <v>1.7445392200000001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59.654431189999997</v>
      </c>
      <c r="F25" s="16">
        <v>2.14033023</v>
      </c>
      <c r="G25" s="14">
        <v>40.345568810000003</v>
      </c>
      <c r="H25" s="16">
        <v>2.14033023</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58.214022749999998</v>
      </c>
      <c r="F26" s="16">
        <v>2.5173087600000001</v>
      </c>
      <c r="G26" s="14">
        <v>41.785977250000002</v>
      </c>
      <c r="H26" s="16">
        <v>2.5173087600000001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65.384716879999999</v>
      </c>
      <c r="F27" s="16">
        <v>2.19867569</v>
      </c>
      <c r="G27" s="14">
        <v>34.615283120000001</v>
      </c>
      <c r="H27" s="16">
        <v>2.19867569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58.979439620000001</v>
      </c>
      <c r="F28" s="16">
        <v>1.99850883</v>
      </c>
      <c r="G28" s="14">
        <v>41.020560379999999</v>
      </c>
      <c r="H28" s="16">
        <v>1.99850883</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69.378297549999999</v>
      </c>
      <c r="F29" s="16">
        <v>2.2674312400000001</v>
      </c>
      <c r="G29" s="14">
        <v>30.621702450000001</v>
      </c>
      <c r="H29" s="16">
        <v>2.2674312400000001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69.414723429999995</v>
      </c>
      <c r="F30" s="16">
        <v>2.37562695</v>
      </c>
      <c r="G30" s="14">
        <v>30.585276570000001</v>
      </c>
      <c r="H30" s="16">
        <v>2.37562695</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50.45308575</v>
      </c>
      <c r="F31" s="16">
        <v>2.3061210299999999</v>
      </c>
      <c r="G31" s="14">
        <v>49.54691425</v>
      </c>
      <c r="H31" s="16">
        <v>2.3061210299999999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58.225287469999998</v>
      </c>
      <c r="F33" s="16">
        <v>2.4702945000000001</v>
      </c>
      <c r="G33" s="14">
        <v>41.774712530000002</v>
      </c>
      <c r="H33" s="16">
        <v>2.4702945000000001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72.014961549999995</v>
      </c>
      <c r="F34" s="16">
        <v>2.2513910699999999</v>
      </c>
      <c r="G34" s="14">
        <v>27.985038450000001</v>
      </c>
      <c r="H34" s="16">
        <v>2.2513910699999999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60.463983450000001</v>
      </c>
      <c r="F35" s="16">
        <v>2.6608619199999999</v>
      </c>
      <c r="G35" s="14">
        <v>39.536016549999999</v>
      </c>
      <c r="H35" s="16">
        <v>2.6608619199999999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62.215057190000003</v>
      </c>
      <c r="F36" s="16">
        <v>2.22322167</v>
      </c>
      <c r="G36" s="14">
        <v>37.784942809999997</v>
      </c>
      <c r="H36" s="16">
        <v>2.22322167</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64.429203430000001</v>
      </c>
      <c r="F37" s="16">
        <v>2.4327634699999998</v>
      </c>
      <c r="G37" s="14">
        <v>35.570796569999999</v>
      </c>
      <c r="H37" s="16">
        <v>2.4327634699999998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60.089617740000001</v>
      </c>
      <c r="F39" s="16">
        <v>1.9262428700000001</v>
      </c>
      <c r="G39" s="14">
        <v>39.910382259999999</v>
      </c>
      <c r="H39" s="16">
        <v>1.9262428700000001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65.939285069999997</v>
      </c>
      <c r="F40" s="16">
        <v>2.08603877</v>
      </c>
      <c r="G40" s="14">
        <v>34.060714930000003</v>
      </c>
      <c r="H40" s="16">
        <v>2.08603877</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63.241121829999997</v>
      </c>
      <c r="F41" s="16">
        <v>2.2911250999999999</v>
      </c>
      <c r="G41" s="14">
        <v>36.758878170000003</v>
      </c>
      <c r="H41" s="16">
        <v>2.2911250999999999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60.955189927812498</v>
      </c>
      <c r="F42" s="16">
        <f>IF(COUNT(F7:F41) &gt; 0, SQRT(SUMSQ(F7:F41)/(COUNT(F7:F41)*COUNT(F7:F41)) ), "—")</f>
        <v>0.39252838779842586</v>
      </c>
      <c r="G42" s="14">
        <f>IF(COUNT(G7:G41) &gt; 0, AVERAGE(G7:G41), "—")</f>
        <v>35.919810072187502</v>
      </c>
      <c r="H42" s="16">
        <f>IF(COUNT(H7:H41) &gt; 0, SQRT(SUMSQ(H7:H41)/(COUNT(H7:H41)*COUNT(H7:H41)) ), "—")</f>
        <v>0.39252838779842586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64.005059739999993</v>
      </c>
      <c r="F46" s="16">
        <v>1.79638378</v>
      </c>
      <c r="G46" s="14">
        <v>35.99494026</v>
      </c>
      <c r="H46" s="16">
        <v>1.79638378</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54.169291119999997</v>
      </c>
      <c r="F47" s="16">
        <v>2.3670605999999998</v>
      </c>
      <c r="G47" s="14">
        <v>45.830708880000003</v>
      </c>
      <c r="H47" s="16">
        <v>2.3670605999999998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71.979331979999998</v>
      </c>
      <c r="F48" s="16">
        <v>2.1620654300000002</v>
      </c>
      <c r="G48" s="14">
        <v>28.020668019999999</v>
      </c>
      <c r="H48" s="16">
        <v>2.1620654300000002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68.532359630000002</v>
      </c>
      <c r="F50" s="16">
        <v>1.6450008</v>
      </c>
      <c r="G50" s="14">
        <v>31.467640370000002</v>
      </c>
      <c r="H50" s="16">
        <v>1.6450008</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61.426279790000002</v>
      </c>
      <c r="F51" s="16">
        <v>2.1707602399999999</v>
      </c>
      <c r="G51" s="14">
        <v>38.573720209999998</v>
      </c>
      <c r="H51" s="16">
        <v>2.1707602399999999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72.202652470000004</v>
      </c>
      <c r="F52" s="16">
        <v>1.8731493100000001</v>
      </c>
      <c r="G52" s="14">
        <v>27.79734753</v>
      </c>
      <c r="H52" s="16">
        <v>1.8731493100000001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(2288/B53*100)</f>
        <v>82.898550724637673</v>
      </c>
      <c r="D53" s="15">
        <v>472</v>
      </c>
      <c r="E53" s="14">
        <v>71.378556110000005</v>
      </c>
      <c r="F53" s="16">
        <v>2.2835837899999998</v>
      </c>
      <c r="G53" s="14">
        <v>28.621443889999998</v>
      </c>
      <c r="H53" s="16">
        <v>2.2835837899999998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57.403397660000003</v>
      </c>
      <c r="F56" s="16">
        <v>2.5579233499999998</v>
      </c>
      <c r="G56" s="14">
        <v>42.596602339999997</v>
      </c>
      <c r="H56" s="16">
        <v>2.5579233499999998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63.410017580000002</v>
      </c>
      <c r="F61" s="16">
        <v>2.0762595400000001</v>
      </c>
      <c r="G61" s="14">
        <v>36.589982419999998</v>
      </c>
      <c r="H61" s="16">
        <v>2.0762595400000001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62.992315089999998</v>
      </c>
      <c r="F62" s="16">
        <v>2.4564668799999998</v>
      </c>
      <c r="G62" s="14">
        <v>37.007684910000002</v>
      </c>
      <c r="H62" s="16">
        <v>2.4564668799999998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64.869476660000004</v>
      </c>
      <c r="F66" s="16">
        <v>2.3117183799999999</v>
      </c>
      <c r="G66" s="14">
        <v>35.130523340000003</v>
      </c>
      <c r="H66" s="16">
        <v>2.3117183799999999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(2945/B67*100)</f>
        <v>85.115606936416185</v>
      </c>
      <c r="D67" s="15">
        <v>515</v>
      </c>
      <c r="E67" s="14">
        <v>69.01094397</v>
      </c>
      <c r="F67" s="16">
        <v>2.1830512199999998</v>
      </c>
      <c r="G67" s="14">
        <v>30.98905603</v>
      </c>
      <c r="H67" s="16">
        <v>2.1830512199999998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53.603365050000001</v>
      </c>
      <c r="F70" s="16">
        <v>2.3390917</v>
      </c>
      <c r="G70" s="14">
        <v>46.396634949999999</v>
      </c>
      <c r="H70" s="16">
        <v>2.3390917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48.11443285</v>
      </c>
      <c r="F72" s="16">
        <v>1.97347691</v>
      </c>
      <c r="G72" s="14">
        <v>51.88556715</v>
      </c>
      <c r="H72" s="16">
        <v>1.97347691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57.521144280000001</v>
      </c>
      <c r="F73" s="16">
        <v>1.9560915999999999</v>
      </c>
      <c r="G73" s="14">
        <v>42.478855719999999</v>
      </c>
      <c r="H73" s="16">
        <v>1.9560915999999999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67.259023940000006</v>
      </c>
      <c r="F75" s="16">
        <v>2.1047707500000001</v>
      </c>
      <c r="G75" s="14">
        <v>32.740976060000001</v>
      </c>
      <c r="H75" s="16">
        <v>2.1047707500000001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3154</v>
      </c>
      <c r="C77" s="14">
        <f>(2609/B77*100)</f>
        <v>82.720355104629036</v>
      </c>
      <c r="D77" s="15">
        <v>545</v>
      </c>
      <c r="E77" s="14">
        <v>65.933316719999993</v>
      </c>
      <c r="F77" s="16">
        <v>2.1733593400000002</v>
      </c>
      <c r="G77" s="14">
        <v>34.066683279999999</v>
      </c>
      <c r="H77" s="16">
        <v>2.1733593400000002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64.262153010000006</v>
      </c>
      <c r="F81" s="16">
        <v>2.2064342899999998</v>
      </c>
      <c r="G81" s="14">
        <v>35.737846990000001</v>
      </c>
      <c r="H81" s="16">
        <v>2.2064342899999998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46.575997129999998</v>
      </c>
      <c r="F7" s="16">
        <v>1.6083336399999999</v>
      </c>
      <c r="G7" s="14">
        <v>53.424002870000002</v>
      </c>
      <c r="H7" s="16">
        <v>1.6083336399999999</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41.911165760000003</v>
      </c>
      <c r="F8" s="16">
        <v>2.2873245600000001</v>
      </c>
      <c r="G8" s="14">
        <v>58.088834239999997</v>
      </c>
      <c r="H8" s="16">
        <v>2.2873245600000001</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55.82772275</v>
      </c>
      <c r="F9" s="16">
        <v>1.92001931</v>
      </c>
      <c r="G9" s="14">
        <v>44.17227725</v>
      </c>
      <c r="H9" s="16">
        <v>1.92001931</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47.791719120000003</v>
      </c>
      <c r="F10" s="16">
        <v>1.4910856800000001</v>
      </c>
      <c r="G10" s="14">
        <v>52.208280879999997</v>
      </c>
      <c r="H10" s="16">
        <v>1.4910856800000001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55.684246780000002</v>
      </c>
      <c r="F11" s="16">
        <v>2.42515386</v>
      </c>
      <c r="G11" s="14">
        <v>44.315753219999998</v>
      </c>
      <c r="H11" s="16">
        <v>2.42515386</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35.806088080000002</v>
      </c>
      <c r="F12" s="16">
        <v>2.0122449499999999</v>
      </c>
      <c r="G12" s="14">
        <v>64.193911920000005</v>
      </c>
      <c r="H12" s="16">
        <v>2.0122449499999999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49.303910330000001</v>
      </c>
      <c r="F13" s="16">
        <v>2.3307316199999999</v>
      </c>
      <c r="G13" s="14">
        <v>50.696089669999999</v>
      </c>
      <c r="H13" s="16">
        <v>2.3307316199999999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47.234380350000002</v>
      </c>
      <c r="F14" s="16">
        <v>2.2827296800000001</v>
      </c>
      <c r="G14" s="14">
        <v>52.765619649999998</v>
      </c>
      <c r="H14" s="16">
        <v>2.2827296800000001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42.817260179999998</v>
      </c>
      <c r="F15" s="16">
        <v>2.14524004</v>
      </c>
      <c r="G15" s="14">
        <v>57.182739820000002</v>
      </c>
      <c r="H15" s="16">
        <v>2.14524004</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64.059584970000003</v>
      </c>
      <c r="F16" s="16">
        <v>2.0071226100000001</v>
      </c>
      <c r="G16" s="14">
        <v>35.940415029999997</v>
      </c>
      <c r="H16" s="16">
        <v>2.0071226100000001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42.582905449999998</v>
      </c>
      <c r="F17" s="16">
        <v>2.0753424300000001</v>
      </c>
      <c r="G17" s="14">
        <v>57.417094550000002</v>
      </c>
      <c r="H17" s="16">
        <v>2.0753424300000001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53.843292290000001</v>
      </c>
      <c r="F18" s="16">
        <v>2.7389000399999999</v>
      </c>
      <c r="G18" s="14">
        <v>46.156707709999999</v>
      </c>
      <c r="H18" s="16">
        <v>2.7389000399999999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40.718445969999998</v>
      </c>
      <c r="F19" s="16">
        <v>2.3042843500000001</v>
      </c>
      <c r="G19" s="14">
        <v>59.281554030000002</v>
      </c>
      <c r="H19" s="16">
        <v>2.3042843500000001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33.149104989999998</v>
      </c>
      <c r="F20" s="16">
        <v>2.4616646200000001</v>
      </c>
      <c r="G20" s="14">
        <v>66.850895010000002</v>
      </c>
      <c r="H20" s="16">
        <v>2.4616646200000001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57.941808260000002</v>
      </c>
      <c r="F22" s="16">
        <v>2.04602883</v>
      </c>
      <c r="G22" s="14">
        <v>42.058191739999998</v>
      </c>
      <c r="H22" s="16">
        <v>2.04602883</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50.32743937</v>
      </c>
      <c r="F23" s="16">
        <v>2.2996256399999999</v>
      </c>
      <c r="G23" s="14">
        <v>49.67256063</v>
      </c>
      <c r="H23" s="16">
        <v>2.2996256399999999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30.02799272</v>
      </c>
      <c r="F24" s="16">
        <v>1.6716945999999999</v>
      </c>
      <c r="G24" s="14">
        <v>69.97200728</v>
      </c>
      <c r="H24" s="16">
        <v>1.6716945999999999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30.749102910000001</v>
      </c>
      <c r="F25" s="16">
        <v>2.3423073699999999</v>
      </c>
      <c r="G25" s="14">
        <v>69.250897089999995</v>
      </c>
      <c r="H25" s="16">
        <v>2.3423073699999999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53.348417380000001</v>
      </c>
      <c r="F26" s="16">
        <v>2.88118718</v>
      </c>
      <c r="G26" s="14">
        <v>46.651582619999999</v>
      </c>
      <c r="H26" s="16">
        <v>2.88118718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51.12906151</v>
      </c>
      <c r="F27" s="16">
        <v>2.4042211400000002</v>
      </c>
      <c r="G27" s="14">
        <v>48.87093849</v>
      </c>
      <c r="H27" s="16">
        <v>2.4042211400000002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61.837579069999997</v>
      </c>
      <c r="F28" s="16">
        <v>2.14509061</v>
      </c>
      <c r="G28" s="14">
        <v>38.162420930000003</v>
      </c>
      <c r="H28" s="16">
        <v>2.14509061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50.26618801</v>
      </c>
      <c r="F29" s="16">
        <v>2.49509911</v>
      </c>
      <c r="G29" s="14">
        <v>49.73381199</v>
      </c>
      <c r="H29" s="16">
        <v>2.49509911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50.313640460000002</v>
      </c>
      <c r="F30" s="16">
        <v>2.5545020300000001</v>
      </c>
      <c r="G30" s="14">
        <v>49.686359539999998</v>
      </c>
      <c r="H30" s="16">
        <v>2.5545020300000001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51.898439260000004</v>
      </c>
      <c r="F31" s="16">
        <v>2.5791311100000001</v>
      </c>
      <c r="G31" s="14">
        <v>48.101560739999996</v>
      </c>
      <c r="H31" s="16">
        <v>2.5791311100000001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49.292782260000003</v>
      </c>
      <c r="F33" s="16">
        <v>2.4005027399999999</v>
      </c>
      <c r="G33" s="14">
        <v>50.707217739999997</v>
      </c>
      <c r="H33" s="16">
        <v>2.4005027399999999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55.581272679999998</v>
      </c>
      <c r="F34" s="16">
        <v>2.6333161500000002</v>
      </c>
      <c r="G34" s="14">
        <v>44.418727320000002</v>
      </c>
      <c r="H34" s="16">
        <v>2.6333161500000002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49.083799200000001</v>
      </c>
      <c r="F35" s="16">
        <v>3.1255911300000001</v>
      </c>
      <c r="G35" s="14">
        <v>50.916200799999999</v>
      </c>
      <c r="H35" s="16">
        <v>3.1255911300000001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52.778424880000003</v>
      </c>
      <c r="F36" s="16">
        <v>2.1959362900000001</v>
      </c>
      <c r="G36" s="14">
        <v>47.221575119999997</v>
      </c>
      <c r="H36" s="16">
        <v>2.1959362900000001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45.908769059999997</v>
      </c>
      <c r="F37" s="16">
        <v>2.2773641200000001</v>
      </c>
      <c r="G37" s="14">
        <v>54.091230940000003</v>
      </c>
      <c r="H37" s="16">
        <v>2.2773641200000001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58.961380290000001</v>
      </c>
      <c r="F39" s="16">
        <v>2.6171408700000001</v>
      </c>
      <c r="G39" s="14">
        <v>41.038619709999999</v>
      </c>
      <c r="H39" s="16">
        <v>2.6171408700000001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50.103473469999997</v>
      </c>
      <c r="F40" s="16">
        <v>1.9711836300000001</v>
      </c>
      <c r="G40" s="14">
        <v>49.896526530000003</v>
      </c>
      <c r="H40" s="16">
        <v>1.9711836300000001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44.283682030000001</v>
      </c>
      <c r="F41" s="16">
        <v>2.40488123</v>
      </c>
      <c r="G41" s="14">
        <v>55.716317969999999</v>
      </c>
      <c r="H41" s="16">
        <v>2.40488123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48.473096155312497</v>
      </c>
      <c r="F42" s="16">
        <f>IF(COUNT(F7:F41) &gt; 0, SQRT(SUMSQ(F7:F41)/(COUNT(F7:F41)*COUNT(F7:F41)) ), "—")</f>
        <v>0.40858127522972004</v>
      </c>
      <c r="G42" s="14">
        <f>IF(COUNT(G7:G41) &gt; 0, AVERAGE(G7:G41), "—")</f>
        <v>51.52690384468751</v>
      </c>
      <c r="H42" s="16">
        <f>IF(COUNT(H7:H41) &gt; 0, SQRT(SUMSQ(H7:H41)/(COUNT(H7:H41)*COUNT(H7:H41)) ), "—")</f>
        <v>0.40858127522972004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52.195567850000003</v>
      </c>
      <c r="F46" s="16">
        <v>1.6752390800000001</v>
      </c>
      <c r="G46" s="14">
        <v>47.804432149999997</v>
      </c>
      <c r="H46" s="16">
        <v>1.6752390800000001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53.699928630000002</v>
      </c>
      <c r="F47" s="16">
        <v>2.29432299</v>
      </c>
      <c r="G47" s="14">
        <v>46.300071369999998</v>
      </c>
      <c r="H47" s="16">
        <v>2.29432299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55.653976919999998</v>
      </c>
      <c r="F48" s="16">
        <v>2.2248435299999998</v>
      </c>
      <c r="G48" s="14">
        <v>44.346023080000002</v>
      </c>
      <c r="H48" s="16">
        <v>2.2248435299999998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73.347784390000001</v>
      </c>
      <c r="F50" s="16">
        <v>1.81095052</v>
      </c>
      <c r="G50" s="14">
        <v>26.652215609999999</v>
      </c>
      <c r="H50" s="16">
        <v>1.81095052</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51.166103679999999</v>
      </c>
      <c r="F51" s="16">
        <v>2.1424026199999999</v>
      </c>
      <c r="G51" s="14">
        <v>48.833896320000001</v>
      </c>
      <c r="H51" s="16">
        <v>2.1424026199999999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53.303493209999999</v>
      </c>
      <c r="F52" s="16">
        <v>2.5051815</v>
      </c>
      <c r="G52" s="14">
        <v>46.696506790000001</v>
      </c>
      <c r="H52" s="16">
        <v>2.5051815</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(2288/B53*100)</f>
        <v>82.898550724637673</v>
      </c>
      <c r="D53" s="15">
        <v>472</v>
      </c>
      <c r="E53" s="14">
        <v>55.498211480000002</v>
      </c>
      <c r="F53" s="16">
        <v>2.6258347500000001</v>
      </c>
      <c r="G53" s="14">
        <v>44.501788519999998</v>
      </c>
      <c r="H53" s="16">
        <v>2.6258347500000001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50.375913349999998</v>
      </c>
      <c r="F56" s="16">
        <v>2.64377481</v>
      </c>
      <c r="G56" s="14">
        <v>49.624086650000002</v>
      </c>
      <c r="H56" s="16">
        <v>2.64377481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58.730212250000001</v>
      </c>
      <c r="F61" s="16">
        <v>2.3374290700000002</v>
      </c>
      <c r="G61" s="14">
        <v>41.269787749999999</v>
      </c>
      <c r="H61" s="16">
        <v>2.3374290700000002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45.18667052</v>
      </c>
      <c r="F62" s="16">
        <v>2.6841388400000001</v>
      </c>
      <c r="G62" s="14">
        <v>54.81332948</v>
      </c>
      <c r="H62" s="16">
        <v>2.6841388400000001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57.041626039999997</v>
      </c>
      <c r="F66" s="16">
        <v>2.4057959800000002</v>
      </c>
      <c r="G66" s="14">
        <v>42.958373960000003</v>
      </c>
      <c r="H66" s="16">
        <v>2.4057959800000002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(2945/B67*100)</f>
        <v>85.115606936416185</v>
      </c>
      <c r="D67" s="15">
        <v>515</v>
      </c>
      <c r="E67" s="14">
        <v>54.894751970000002</v>
      </c>
      <c r="F67" s="16">
        <v>2.4330670200000002</v>
      </c>
      <c r="G67" s="14">
        <v>45.105248029999998</v>
      </c>
      <c r="H67" s="16">
        <v>2.4330670200000002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71.078713350000001</v>
      </c>
      <c r="F70" s="16">
        <v>2.2633162800000002</v>
      </c>
      <c r="G70" s="14">
        <v>28.921286649999999</v>
      </c>
      <c r="H70" s="16">
        <v>2.2633162800000002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51.336668539999998</v>
      </c>
      <c r="F72" s="16">
        <v>1.9866535999999999</v>
      </c>
      <c r="G72" s="14">
        <v>48.663331460000002</v>
      </c>
      <c r="H72" s="16">
        <v>1.9866535999999999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49.767294890000002</v>
      </c>
      <c r="F73" s="16">
        <v>2.49131181</v>
      </c>
      <c r="G73" s="14">
        <v>50.232705109999998</v>
      </c>
      <c r="H73" s="16">
        <v>2.49131181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78.256442579999998</v>
      </c>
      <c r="F75" s="16">
        <v>1.6213436800000001</v>
      </c>
      <c r="G75" s="14">
        <v>21.743557419999998</v>
      </c>
      <c r="H75" s="16">
        <v>1.6213436800000001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51.11751306</v>
      </c>
      <c r="F76" s="16">
        <v>1.8827383799999999</v>
      </c>
      <c r="G76" s="14">
        <v>48.88248694</v>
      </c>
      <c r="H76" s="16">
        <v>1.8827383799999999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(2609/B77*100)</f>
        <v>82.720355104629036</v>
      </c>
      <c r="D77" s="15">
        <v>545</v>
      </c>
      <c r="E77" s="14">
        <v>54.123755969999998</v>
      </c>
      <c r="F77" s="16">
        <v>2.16295467</v>
      </c>
      <c r="G77" s="14">
        <v>45.876244030000002</v>
      </c>
      <c r="H77" s="16">
        <v>2.16295467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48.647210190000003</v>
      </c>
      <c r="F81" s="16">
        <v>2.2376264300000002</v>
      </c>
      <c r="G81" s="14">
        <v>51.352789809999997</v>
      </c>
      <c r="H81" s="16">
        <v>2.2376264300000002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28.443211470000001</v>
      </c>
      <c r="F7" s="16">
        <v>1.48558247</v>
      </c>
      <c r="G7" s="14">
        <v>71.556788530000006</v>
      </c>
      <c r="H7" s="16">
        <v>1.48558247</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41.707856569999997</v>
      </c>
      <c r="F8" s="16">
        <v>2.2412920000000001</v>
      </c>
      <c r="G8" s="14">
        <v>58.292143430000003</v>
      </c>
      <c r="H8" s="16">
        <v>2.2412920000000001</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40.879660829999999</v>
      </c>
      <c r="F9" s="16">
        <v>1.6836544499999999</v>
      </c>
      <c r="G9" s="14">
        <v>59.120339170000001</v>
      </c>
      <c r="H9" s="16">
        <v>1.6836544499999999</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27.91510555</v>
      </c>
      <c r="F10" s="16">
        <v>1.5897973700000001</v>
      </c>
      <c r="G10" s="14">
        <v>72.084894449999993</v>
      </c>
      <c r="H10" s="16">
        <v>1.5897973700000001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60.469613039999999</v>
      </c>
      <c r="F11" s="16">
        <v>2.6160897400000001</v>
      </c>
      <c r="G11" s="14">
        <v>39.530386960000001</v>
      </c>
      <c r="H11" s="16">
        <v>2.6160897400000001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32.750318489999998</v>
      </c>
      <c r="F12" s="16">
        <v>1.9988674900000001</v>
      </c>
      <c r="G12" s="14">
        <v>67.249681510000002</v>
      </c>
      <c r="H12" s="16">
        <v>1.9988674900000001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36.349598440000001</v>
      </c>
      <c r="F13" s="16">
        <v>2.0580740300000002</v>
      </c>
      <c r="G13" s="14">
        <v>63.650401559999999</v>
      </c>
      <c r="H13" s="16">
        <v>2.0580740300000002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38.081871900000003</v>
      </c>
      <c r="F14" s="16">
        <v>2.1707659100000001</v>
      </c>
      <c r="G14" s="14">
        <v>61.918128099999997</v>
      </c>
      <c r="H14" s="16">
        <v>2.1707659100000001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50.079173089999998</v>
      </c>
      <c r="F15" s="16">
        <v>1.98788611</v>
      </c>
      <c r="G15" s="14">
        <v>49.920826910000002</v>
      </c>
      <c r="H15" s="16">
        <v>1.98788611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39.348760810000002</v>
      </c>
      <c r="F16" s="16">
        <v>2.0829065999999998</v>
      </c>
      <c r="G16" s="14">
        <v>60.651239189999998</v>
      </c>
      <c r="H16" s="16">
        <v>2.0829065999999998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39.602623880000003</v>
      </c>
      <c r="F17" s="16">
        <v>1.89479328</v>
      </c>
      <c r="G17" s="14">
        <v>60.397376119999997</v>
      </c>
      <c r="H17" s="16">
        <v>1.89479328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44.552163980000003</v>
      </c>
      <c r="F18" s="16">
        <v>2.6727725499999999</v>
      </c>
      <c r="G18" s="14">
        <v>55.447836019999997</v>
      </c>
      <c r="H18" s="16">
        <v>2.6727725499999999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41.137691529999998</v>
      </c>
      <c r="F19" s="16">
        <v>2.8413680700000001</v>
      </c>
      <c r="G19" s="14">
        <v>58.862308470000002</v>
      </c>
      <c r="H19" s="16">
        <v>2.8413680700000001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48.64463379</v>
      </c>
      <c r="F20" s="16">
        <v>2.84095582</v>
      </c>
      <c r="G20" s="14">
        <v>51.35536621</v>
      </c>
      <c r="H20" s="16">
        <v>2.84095582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43.74420396</v>
      </c>
      <c r="F22" s="16">
        <v>2.3101765200000002</v>
      </c>
      <c r="G22" s="14">
        <v>56.25579604</v>
      </c>
      <c r="H22" s="16">
        <v>2.3101765200000002</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43.200013970000001</v>
      </c>
      <c r="F23" s="16">
        <v>2.4070118699999998</v>
      </c>
      <c r="G23" s="14">
        <v>56.799986029999999</v>
      </c>
      <c r="H23" s="16">
        <v>2.4070118699999998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32.7999826</v>
      </c>
      <c r="F24" s="16">
        <v>1.8259050100000001</v>
      </c>
      <c r="G24" s="14">
        <v>67.200017399999993</v>
      </c>
      <c r="H24" s="16">
        <v>1.8259050100000001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37.57686597</v>
      </c>
      <c r="F25" s="16">
        <v>2.1596644199999999</v>
      </c>
      <c r="G25" s="14">
        <v>62.42313403</v>
      </c>
      <c r="H25" s="16">
        <v>2.1596644199999999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42.277769050000003</v>
      </c>
      <c r="F26" s="16">
        <v>2.5540288800000002</v>
      </c>
      <c r="G26" s="14">
        <v>57.722230949999997</v>
      </c>
      <c r="H26" s="16">
        <v>2.5540288800000002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43.020389360000003</v>
      </c>
      <c r="F27" s="16">
        <v>2.44905091</v>
      </c>
      <c r="G27" s="14">
        <v>56.979610639999997</v>
      </c>
      <c r="H27" s="16">
        <v>2.44905091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64.289236340000002</v>
      </c>
      <c r="F28" s="16">
        <v>2.01997122</v>
      </c>
      <c r="G28" s="14">
        <v>35.710763659999998</v>
      </c>
      <c r="H28" s="16">
        <v>2.01997122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42.877303120000001</v>
      </c>
      <c r="F29" s="16">
        <v>2.6027611500000001</v>
      </c>
      <c r="G29" s="14">
        <v>57.122696879999999</v>
      </c>
      <c r="H29" s="16">
        <v>2.6027611500000001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31.623917899999999</v>
      </c>
      <c r="F30" s="16">
        <v>2.50470142</v>
      </c>
      <c r="G30" s="14">
        <v>68.376082100000005</v>
      </c>
      <c r="H30" s="16">
        <v>2.50470142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34.056017629999999</v>
      </c>
      <c r="F31" s="16">
        <v>2.2910347299999998</v>
      </c>
      <c r="G31" s="14">
        <v>65.943982370000001</v>
      </c>
      <c r="H31" s="16">
        <v>2.2910347299999998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52.36139438</v>
      </c>
      <c r="F33" s="16">
        <v>1.9899662199999999</v>
      </c>
      <c r="G33" s="14">
        <v>47.63860562</v>
      </c>
      <c r="H33" s="16">
        <v>1.9899662199999999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56.35754919</v>
      </c>
      <c r="F34" s="16">
        <v>2.1972343200000002</v>
      </c>
      <c r="G34" s="14">
        <v>43.64245081</v>
      </c>
      <c r="H34" s="16">
        <v>2.1972343200000002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38.064224940000003</v>
      </c>
      <c r="F35" s="16">
        <v>2.9169559600000001</v>
      </c>
      <c r="G35" s="14">
        <v>61.935775059999997</v>
      </c>
      <c r="H35" s="16">
        <v>2.9169559600000001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43.864072219999997</v>
      </c>
      <c r="F36" s="16">
        <v>1.79874936</v>
      </c>
      <c r="G36" s="14">
        <v>56.135927780000003</v>
      </c>
      <c r="H36" s="16">
        <v>1.79874936</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38.089710359999998</v>
      </c>
      <c r="F37" s="16">
        <v>2.2503270899999999</v>
      </c>
      <c r="G37" s="14">
        <v>61.910289640000002</v>
      </c>
      <c r="H37" s="16">
        <v>2.2503270899999999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69.572848379999996</v>
      </c>
      <c r="F39" s="16">
        <v>2.6495604400000001</v>
      </c>
      <c r="G39" s="14">
        <v>30.42715162</v>
      </c>
      <c r="H39" s="16">
        <v>2.6495604400000001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34.568119240000001</v>
      </c>
      <c r="F40" s="16">
        <v>1.8789327600000001</v>
      </c>
      <c r="G40" s="14">
        <v>65.431880759999999</v>
      </c>
      <c r="H40" s="16">
        <v>1.8789327600000001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24.324978869999999</v>
      </c>
      <c r="F41" s="16">
        <v>2.1419823</v>
      </c>
      <c r="G41" s="14">
        <v>75.675021130000005</v>
      </c>
      <c r="H41" s="16">
        <v>2.1419823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41.957215026562508</v>
      </c>
      <c r="F42" s="16">
        <f>IF(COUNT(F7:F41) &gt; 0, SQRT(SUMSQ(F7:F41)/(COUNT(F7:F41)*COUNT(F7:F41)) ), "—")</f>
        <v>0.39812735452381848</v>
      </c>
      <c r="G42" s="14">
        <f>IF(COUNT(G7:G41) &gt; 0, AVERAGE(G7:G41), "—")</f>
        <v>58.042784973437485</v>
      </c>
      <c r="H42" s="16">
        <f>IF(COUNT(H7:H41) &gt; 0, SQRT(SUMSQ(H7:H41)/(COUNT(H7:H41)*COUNT(H7:H41)) ), "—")</f>
        <v>0.39812735452381848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64.62914361</v>
      </c>
      <c r="F46" s="16">
        <v>1.21562809</v>
      </c>
      <c r="G46" s="14">
        <v>35.37085639</v>
      </c>
      <c r="H46" s="16">
        <v>1.21562809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50.902104790000003</v>
      </c>
      <c r="F47" s="16">
        <v>2.5094072199999999</v>
      </c>
      <c r="G47" s="14">
        <v>49.097895209999997</v>
      </c>
      <c r="H47" s="16">
        <v>2.5094072199999999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47.364364790000003</v>
      </c>
      <c r="F48" s="16">
        <v>2.5484763199999998</v>
      </c>
      <c r="G48" s="14">
        <v>52.635635209999997</v>
      </c>
      <c r="H48" s="16">
        <v>2.5484763199999998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66.773696020000003</v>
      </c>
      <c r="F50" s="16">
        <v>2.3266006799999999</v>
      </c>
      <c r="G50" s="14">
        <v>33.226303979999997</v>
      </c>
      <c r="H50" s="16">
        <v>2.3266006799999999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67.035196119999995</v>
      </c>
      <c r="F51" s="16">
        <v>2.0083052399999999</v>
      </c>
      <c r="G51" s="14">
        <v>32.964803879999998</v>
      </c>
      <c r="H51" s="16">
        <v>2.0083052399999999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48.752683939999997</v>
      </c>
      <c r="F52" s="16">
        <v>2.2150237399999999</v>
      </c>
      <c r="G52" s="14">
        <v>51.247316060000003</v>
      </c>
      <c r="H52" s="16">
        <v>2.2150237399999999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(2288/B53*100)</f>
        <v>82.898550724637673</v>
      </c>
      <c r="D53" s="15">
        <v>472</v>
      </c>
      <c r="E53" s="14">
        <v>59.675629399999998</v>
      </c>
      <c r="F53" s="16">
        <v>2.2691039900000001</v>
      </c>
      <c r="G53" s="14">
        <v>40.324370600000002</v>
      </c>
      <c r="H53" s="16">
        <v>2.2691039900000001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36.40231988</v>
      </c>
      <c r="F56" s="16">
        <v>2.7239154299999999</v>
      </c>
      <c r="G56" s="14">
        <v>63.59768012</v>
      </c>
      <c r="H56" s="16">
        <v>2.7239154299999999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46.512883240000001</v>
      </c>
      <c r="F61" s="16">
        <v>2.3335116</v>
      </c>
      <c r="G61" s="14">
        <v>53.487116759999999</v>
      </c>
      <c r="H61" s="16">
        <v>2.3335116</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51.028027280000003</v>
      </c>
      <c r="F62" s="16">
        <v>2.3907151999999998</v>
      </c>
      <c r="G62" s="14">
        <v>48.971972719999997</v>
      </c>
      <c r="H62" s="16">
        <v>2.3907151999999998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56.941628739999999</v>
      </c>
      <c r="F66" s="16">
        <v>2.1759537899999999</v>
      </c>
      <c r="G66" s="14">
        <v>43.058371260000001</v>
      </c>
      <c r="H66" s="16">
        <v>2.1759537899999999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(2945/B67*100)</f>
        <v>85.115606936416185</v>
      </c>
      <c r="D67" s="15">
        <v>515</v>
      </c>
      <c r="E67" s="14">
        <v>73.481531070000003</v>
      </c>
      <c r="F67" s="16">
        <v>2.0635748199999999</v>
      </c>
      <c r="G67" s="14">
        <v>26.518468930000001</v>
      </c>
      <c r="H67" s="16">
        <v>2.0635748199999999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53.536372900000003</v>
      </c>
      <c r="F70" s="16">
        <v>2.0853473299999998</v>
      </c>
      <c r="G70" s="14">
        <v>46.463627099999997</v>
      </c>
      <c r="H70" s="16">
        <v>2.0853473299999998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48.540401559999999</v>
      </c>
      <c r="F72" s="16">
        <v>1.87108254</v>
      </c>
      <c r="G72" s="14">
        <v>51.459598440000001</v>
      </c>
      <c r="H72" s="16">
        <v>1.87108254</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62.519993970000002</v>
      </c>
      <c r="F73" s="16">
        <v>2.05253117</v>
      </c>
      <c r="G73" s="14">
        <v>37.480006029999998</v>
      </c>
      <c r="H73" s="16">
        <v>2.05253117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74.296447999999998</v>
      </c>
      <c r="F75" s="16">
        <v>2.18886359</v>
      </c>
      <c r="G75" s="14">
        <v>25.703551999999998</v>
      </c>
      <c r="H75" s="16">
        <v>2.18886359</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60.546880229999999</v>
      </c>
      <c r="F76" s="16">
        <v>1.68597792</v>
      </c>
      <c r="G76" s="14">
        <v>39.453119770000001</v>
      </c>
      <c r="H76" s="16">
        <v>1.68597792</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(2609/B77*100)</f>
        <v>82.720355104629036</v>
      </c>
      <c r="D77" s="15">
        <v>545</v>
      </c>
      <c r="E77" s="14">
        <v>62.98679903</v>
      </c>
      <c r="F77" s="16">
        <v>2.2083673300000002</v>
      </c>
      <c r="G77" s="14">
        <v>37.01320097</v>
      </c>
      <c r="H77" s="16">
        <v>2.2083673300000002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60.14965334</v>
      </c>
      <c r="F81" s="16">
        <v>2.3990254599999998</v>
      </c>
      <c r="G81" s="14">
        <v>39.85034666</v>
      </c>
      <c r="H81" s="16">
        <v>2.3990254599999998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50.308330329999997</v>
      </c>
      <c r="F7" s="16">
        <v>1.6627630099999999</v>
      </c>
      <c r="G7" s="14">
        <v>49.691669670000003</v>
      </c>
      <c r="H7" s="16">
        <v>1.6627630099999999</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75.396286470000007</v>
      </c>
      <c r="F8" s="16">
        <v>1.7905687299999999</v>
      </c>
      <c r="G8" s="14">
        <v>24.60371353</v>
      </c>
      <c r="H8" s="16">
        <v>1.7905687299999999</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76.018835229999993</v>
      </c>
      <c r="F9" s="16">
        <v>1.42547742</v>
      </c>
      <c r="G9" s="14">
        <v>23.981164769999999</v>
      </c>
      <c r="H9" s="16">
        <v>1.42547742</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57.5943319</v>
      </c>
      <c r="F10" s="16">
        <v>1.72919091</v>
      </c>
      <c r="G10" s="14">
        <v>42.4056681</v>
      </c>
      <c r="H10" s="16">
        <v>1.72919091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81.112695680000002</v>
      </c>
      <c r="F11" s="16">
        <v>1.9345405600000001</v>
      </c>
      <c r="G11" s="14">
        <v>18.887304319999998</v>
      </c>
      <c r="H11" s="16">
        <v>1.9345405600000001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84.668303890000004</v>
      </c>
      <c r="F12" s="16">
        <v>1.8423299399999999</v>
      </c>
      <c r="G12" s="14">
        <v>15.331696109999999</v>
      </c>
      <c r="H12" s="16">
        <v>1.8423299399999999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65.85970433</v>
      </c>
      <c r="F13" s="16">
        <v>2.3715272600000001</v>
      </c>
      <c r="G13" s="14">
        <v>34.14029567</v>
      </c>
      <c r="H13" s="16">
        <v>2.3715272600000001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79.102675700000006</v>
      </c>
      <c r="F14" s="16">
        <v>2.1580587599999999</v>
      </c>
      <c r="G14" s="14">
        <v>20.897324300000001</v>
      </c>
      <c r="H14" s="16">
        <v>2.1580587599999999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67.878755190000007</v>
      </c>
      <c r="F15" s="16">
        <v>2.1692584799999999</v>
      </c>
      <c r="G15" s="14">
        <v>32.12124481</v>
      </c>
      <c r="H15" s="16">
        <v>2.1692584799999999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74.639948320000002</v>
      </c>
      <c r="F16" s="16">
        <v>1.9455679299999999</v>
      </c>
      <c r="G16" s="14">
        <v>25.360051680000002</v>
      </c>
      <c r="H16" s="16">
        <v>1.9455679299999999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81.094145940000004</v>
      </c>
      <c r="F17" s="16">
        <v>1.59115451</v>
      </c>
      <c r="G17" s="14">
        <v>18.905854059999999</v>
      </c>
      <c r="H17" s="16">
        <v>1.59115451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75.740713810000003</v>
      </c>
      <c r="F18" s="16">
        <v>2.1515882999999998</v>
      </c>
      <c r="G18" s="14">
        <v>24.259286190000001</v>
      </c>
      <c r="H18" s="16">
        <v>2.1515882999999998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71.204756669999995</v>
      </c>
      <c r="F19" s="16">
        <v>2.50195217</v>
      </c>
      <c r="G19" s="14">
        <v>28.795243330000002</v>
      </c>
      <c r="H19" s="16">
        <v>2.50195217</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69.099052080000007</v>
      </c>
      <c r="F20" s="16">
        <v>3.0617219100000002</v>
      </c>
      <c r="G20" s="14">
        <v>30.90094792</v>
      </c>
      <c r="H20" s="16">
        <v>3.0617219100000002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83.205438130000005</v>
      </c>
      <c r="F22" s="16">
        <v>1.6153246800000001</v>
      </c>
      <c r="G22" s="14">
        <v>16.794561869999999</v>
      </c>
      <c r="H22" s="16">
        <v>1.6153246800000001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75.979048460000001</v>
      </c>
      <c r="F23" s="16">
        <v>1.6505095599999999</v>
      </c>
      <c r="G23" s="14">
        <v>24.020951539999999</v>
      </c>
      <c r="H23" s="16">
        <v>1.6505095599999999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59.68540273</v>
      </c>
      <c r="F24" s="16">
        <v>1.88144186</v>
      </c>
      <c r="G24" s="14">
        <v>40.31459727</v>
      </c>
      <c r="H24" s="16">
        <v>1.88144186</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59.402296810000003</v>
      </c>
      <c r="F25" s="16">
        <v>2.2303174000000001</v>
      </c>
      <c r="G25" s="14">
        <v>40.597703189999997</v>
      </c>
      <c r="H25" s="16">
        <v>2.2303174000000001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75.876191710000001</v>
      </c>
      <c r="F26" s="16">
        <v>2.5228004799999999</v>
      </c>
      <c r="G26" s="14">
        <v>24.123808289999999</v>
      </c>
      <c r="H26" s="16">
        <v>2.5228004799999999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74.199974539999999</v>
      </c>
      <c r="F27" s="16">
        <v>2.0455577900000002</v>
      </c>
      <c r="G27" s="14">
        <v>25.800025460000001</v>
      </c>
      <c r="H27" s="16">
        <v>2.0455577900000002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77.53058781</v>
      </c>
      <c r="F28" s="16">
        <v>1.67678609</v>
      </c>
      <c r="G28" s="14">
        <v>22.46941219</v>
      </c>
      <c r="H28" s="16">
        <v>1.67678609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69.453419249999996</v>
      </c>
      <c r="F29" s="16">
        <v>2.1693519299999999</v>
      </c>
      <c r="G29" s="14">
        <v>30.54658075</v>
      </c>
      <c r="H29" s="16">
        <v>2.1693519299999999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52.219132799999997</v>
      </c>
      <c r="F30" s="16">
        <v>2.7164239299999999</v>
      </c>
      <c r="G30" s="14">
        <v>47.780867200000003</v>
      </c>
      <c r="H30" s="16">
        <v>2.7164239299999999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68.614412939999994</v>
      </c>
      <c r="F31" s="16">
        <v>2.24707239</v>
      </c>
      <c r="G31" s="14">
        <v>31.385587059999999</v>
      </c>
      <c r="H31" s="16">
        <v>2.24707239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76.364346490000003</v>
      </c>
      <c r="F33" s="16">
        <v>1.9748092500000001</v>
      </c>
      <c r="G33" s="14">
        <v>23.635653510000001</v>
      </c>
      <c r="H33" s="16">
        <v>1.9748092500000001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76.59783668</v>
      </c>
      <c r="F34" s="16">
        <v>2.05610765</v>
      </c>
      <c r="G34" s="14">
        <v>23.40216332</v>
      </c>
      <c r="H34" s="16">
        <v>2.05610765</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69.185142159999998</v>
      </c>
      <c r="F35" s="16">
        <v>2.6102799800000001</v>
      </c>
      <c r="G35" s="14">
        <v>30.814857839999998</v>
      </c>
      <c r="H35" s="16">
        <v>2.6102799800000001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82.998139080000001</v>
      </c>
      <c r="F36" s="16">
        <v>1.59680157</v>
      </c>
      <c r="G36" s="14">
        <v>17.001860919999999</v>
      </c>
      <c r="H36" s="16">
        <v>1.59680157</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71.971758289999997</v>
      </c>
      <c r="F37" s="16">
        <v>2.1983869899999999</v>
      </c>
      <c r="G37" s="14">
        <v>28.02824171</v>
      </c>
      <c r="H37" s="16">
        <v>2.1983869899999999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64.404787150000004</v>
      </c>
      <c r="F39" s="16">
        <v>2.2378258400000002</v>
      </c>
      <c r="G39" s="14">
        <v>35.595212850000003</v>
      </c>
      <c r="H39" s="16">
        <v>2.2378258400000002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61.912621459999997</v>
      </c>
      <c r="F40" s="16">
        <v>1.9092841300000001</v>
      </c>
      <c r="G40" s="14">
        <v>38.087378540000003</v>
      </c>
      <c r="H40" s="16">
        <v>1.9092841300000001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56.30484963</v>
      </c>
      <c r="F41" s="16">
        <v>2.6047928200000001</v>
      </c>
      <c r="G41" s="14">
        <v>43.69515037</v>
      </c>
      <c r="H41" s="16">
        <v>2.6047928200000001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70.800747551875006</v>
      </c>
      <c r="F42" s="16">
        <f>IF(COUNT(F7:F41) &gt; 0, SQRT(SUMSQ(F7:F41)/(COUNT(F7:F41)*COUNT(F7:F41)) ), "—")</f>
        <v>0.37212596916779273</v>
      </c>
      <c r="G42" s="14">
        <f>IF(COUNT(G7:G41) &gt; 0, AVERAGE(G7:G41), "—")</f>
        <v>29.199252448125002</v>
      </c>
      <c r="H42" s="16">
        <f>IF(COUNT(H7:H41) &gt; 0, SQRT(SUMSQ(H7:H41)/(COUNT(H7:H41)*COUNT(H7:H41)) ), "—")</f>
        <v>0.37212596916779273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81.586427450000002</v>
      </c>
      <c r="F46" s="16">
        <v>1.2705931399999999</v>
      </c>
      <c r="G46" s="14">
        <v>18.413572550000001</v>
      </c>
      <c r="H46" s="16">
        <v>1.2705931399999999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73.915090530000001</v>
      </c>
      <c r="F47" s="16">
        <v>1.8302532600000001</v>
      </c>
      <c r="G47" s="14">
        <v>26.084909469999999</v>
      </c>
      <c r="H47" s="16">
        <v>1.8302532600000001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59.106417749999999</v>
      </c>
      <c r="F48" s="16">
        <v>2.1342879699999999</v>
      </c>
      <c r="G48" s="14">
        <v>40.893582250000001</v>
      </c>
      <c r="H48" s="16">
        <v>2.1342879699999999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81.857257160000003</v>
      </c>
      <c r="F50" s="16">
        <v>1.6361237200000001</v>
      </c>
      <c r="G50" s="14">
        <v>18.14274284</v>
      </c>
      <c r="H50" s="16">
        <v>1.6361237200000001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83.742102619999997</v>
      </c>
      <c r="F51" s="16">
        <v>1.81063167</v>
      </c>
      <c r="G51" s="14">
        <v>16.257897379999999</v>
      </c>
      <c r="H51" s="16">
        <v>1.81063167</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82.056625060000002</v>
      </c>
      <c r="F52" s="16">
        <v>1.2409538</v>
      </c>
      <c r="G52" s="14">
        <v>17.943374940000002</v>
      </c>
      <c r="H52" s="16">
        <v>1.2409538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(2288/B53*100)</f>
        <v>82.898550724637673</v>
      </c>
      <c r="D53" s="15">
        <v>472</v>
      </c>
      <c r="E53" s="14">
        <v>75.676348790000006</v>
      </c>
      <c r="F53" s="16">
        <v>2.0016429599999999</v>
      </c>
      <c r="G53" s="14">
        <v>24.323651210000001</v>
      </c>
      <c r="H53" s="16">
        <v>2.0016429599999999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65.944351929999996</v>
      </c>
      <c r="F56" s="16">
        <v>2.2853306400000002</v>
      </c>
      <c r="G56" s="14">
        <v>34.055648069999997</v>
      </c>
      <c r="H56" s="16">
        <v>2.2853306400000002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77.791522470000004</v>
      </c>
      <c r="F61" s="16">
        <v>2.0888813499999999</v>
      </c>
      <c r="G61" s="14">
        <v>22.20847753</v>
      </c>
      <c r="H61" s="16">
        <v>2.0888813499999999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56.387286680000003</v>
      </c>
      <c r="F62" s="16">
        <v>2.3906265100000001</v>
      </c>
      <c r="G62" s="14">
        <v>43.612713319999997</v>
      </c>
      <c r="H62" s="16">
        <v>2.3906265100000001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74.618188009999997</v>
      </c>
      <c r="F66" s="16">
        <v>2.07187842</v>
      </c>
      <c r="G66" s="14">
        <v>25.381811989999999</v>
      </c>
      <c r="H66" s="16">
        <v>2.07187842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(2945/B67*100)</f>
        <v>85.115606936416185</v>
      </c>
      <c r="D67" s="15">
        <v>515</v>
      </c>
      <c r="E67" s="14">
        <v>81.358116670000001</v>
      </c>
      <c r="F67" s="16">
        <v>1.8491290300000001</v>
      </c>
      <c r="G67" s="14">
        <v>18.641883329999999</v>
      </c>
      <c r="H67" s="16">
        <v>1.8491290300000001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82.801636189999996</v>
      </c>
      <c r="F70" s="16">
        <v>1.9995699600000001</v>
      </c>
      <c r="G70" s="14">
        <v>17.19836381</v>
      </c>
      <c r="H70" s="16">
        <v>1.9995699600000001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62.261008799999999</v>
      </c>
      <c r="F72" s="16">
        <v>2.22069969</v>
      </c>
      <c r="G72" s="14">
        <v>37.738991200000001</v>
      </c>
      <c r="H72" s="16">
        <v>2.22069969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64.900881279999993</v>
      </c>
      <c r="F73" s="16">
        <v>1.91737723</v>
      </c>
      <c r="G73" s="14">
        <v>35.09911872</v>
      </c>
      <c r="H73" s="16">
        <v>1.91737723</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83.23343079</v>
      </c>
      <c r="F75" s="16">
        <v>1.78372559</v>
      </c>
      <c r="G75" s="14">
        <v>16.76656921</v>
      </c>
      <c r="H75" s="16">
        <v>1.78372559</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71.256105329999997</v>
      </c>
      <c r="F76" s="16">
        <v>1.82070903</v>
      </c>
      <c r="G76" s="14">
        <v>28.74389467</v>
      </c>
      <c r="H76" s="16">
        <v>1.82070903</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(2609/B77*100)</f>
        <v>82.720355104629036</v>
      </c>
      <c r="D77" s="15">
        <v>545</v>
      </c>
      <c r="E77" s="14">
        <v>81.954794070000005</v>
      </c>
      <c r="F77" s="16">
        <v>1.7574314200000001</v>
      </c>
      <c r="G77" s="14">
        <v>18.045205930000002</v>
      </c>
      <c r="H77" s="16">
        <v>1.7574314200000001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83.151254960000003</v>
      </c>
      <c r="F81" s="16">
        <v>1.7818160000000001</v>
      </c>
      <c r="G81" s="14">
        <v>16.848745040000001</v>
      </c>
      <c r="H81" s="16">
        <v>1.7818160000000001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35.125791</v>
      </c>
      <c r="F7" s="16">
        <v>1.60230549</v>
      </c>
      <c r="G7" s="14">
        <v>64.874208999999993</v>
      </c>
      <c r="H7" s="16">
        <v>1.60230549</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35.204502859999998</v>
      </c>
      <c r="F8" s="16">
        <v>1.8314449900000001</v>
      </c>
      <c r="G8" s="14">
        <v>64.795497139999995</v>
      </c>
      <c r="H8" s="16">
        <v>1.8314449900000001</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25.912992689999999</v>
      </c>
      <c r="F9" s="16">
        <v>1.51906217</v>
      </c>
      <c r="G9" s="14">
        <v>74.087007310000004</v>
      </c>
      <c r="H9" s="16">
        <v>1.51906217</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29.831471669999999</v>
      </c>
      <c r="F10" s="16">
        <v>1.64703822</v>
      </c>
      <c r="G10" s="14">
        <v>70.168528330000001</v>
      </c>
      <c r="H10" s="16">
        <v>1.64703822</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37.496871329999998</v>
      </c>
      <c r="F11" s="16">
        <v>2.1625485599999998</v>
      </c>
      <c r="G11" s="14">
        <v>62.503128670000002</v>
      </c>
      <c r="H11" s="16">
        <v>2.1625485599999998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34.303620729999999</v>
      </c>
      <c r="F12" s="16">
        <v>2.48475161</v>
      </c>
      <c r="G12" s="14">
        <v>65.696379269999994</v>
      </c>
      <c r="H12" s="16">
        <v>2.48475161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34.663257039999998</v>
      </c>
      <c r="F13" s="16">
        <v>2.51359734</v>
      </c>
      <c r="G13" s="14">
        <v>65.336742959999995</v>
      </c>
      <c r="H13" s="16">
        <v>2.51359734</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22.02897729</v>
      </c>
      <c r="F14" s="16">
        <v>1.86278543</v>
      </c>
      <c r="G14" s="14">
        <v>77.97102271</v>
      </c>
      <c r="H14" s="16">
        <v>1.86278543</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20.38884934</v>
      </c>
      <c r="F15" s="16">
        <v>1.5130834500000001</v>
      </c>
      <c r="G15" s="14">
        <v>79.611150660000007</v>
      </c>
      <c r="H15" s="16">
        <v>1.5130834500000001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32.162458110000003</v>
      </c>
      <c r="F16" s="16">
        <v>2.1907998800000001</v>
      </c>
      <c r="G16" s="14">
        <v>67.837541889999997</v>
      </c>
      <c r="H16" s="16">
        <v>2.1907998800000001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22.964957250000001</v>
      </c>
      <c r="F17" s="16">
        <v>1.9019084500000001</v>
      </c>
      <c r="G17" s="14">
        <v>77.035042750000002</v>
      </c>
      <c r="H17" s="16">
        <v>1.9019084500000001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37.175370280000003</v>
      </c>
      <c r="F18" s="16">
        <v>2.7006244700000002</v>
      </c>
      <c r="G18" s="14">
        <v>62.824629719999997</v>
      </c>
      <c r="H18" s="16">
        <v>2.7006244700000002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53.490687209999997</v>
      </c>
      <c r="F19" s="16">
        <v>2.3399448299999999</v>
      </c>
      <c r="G19" s="14">
        <v>46.509312790000003</v>
      </c>
      <c r="H19" s="16">
        <v>2.3399448299999999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38.307419940000003</v>
      </c>
      <c r="F20" s="16">
        <v>3.1699154799999998</v>
      </c>
      <c r="G20" s="14">
        <v>61.692580059999997</v>
      </c>
      <c r="H20" s="16">
        <v>3.1699154799999998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30.243165829999999</v>
      </c>
      <c r="F22" s="16">
        <v>2.0183707900000001</v>
      </c>
      <c r="G22" s="14">
        <v>69.756834170000005</v>
      </c>
      <c r="H22" s="16">
        <v>2.0183707900000001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39.622517549999998</v>
      </c>
      <c r="F23" s="16">
        <v>2.6673656499999998</v>
      </c>
      <c r="G23" s="14">
        <v>60.377482450000002</v>
      </c>
      <c r="H23" s="16">
        <v>2.6673656499999998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28.062292370000002</v>
      </c>
      <c r="F24" s="16">
        <v>1.8835913200000001</v>
      </c>
      <c r="G24" s="14">
        <v>71.937707630000006</v>
      </c>
      <c r="H24" s="16">
        <v>1.8835913200000001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36.201884870000001</v>
      </c>
      <c r="F25" s="16">
        <v>1.8477609699999999</v>
      </c>
      <c r="G25" s="14">
        <v>63.798115129999999</v>
      </c>
      <c r="H25" s="16">
        <v>1.8477609699999999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32.755301850000002</v>
      </c>
      <c r="F26" s="16">
        <v>2.3797537800000002</v>
      </c>
      <c r="G26" s="14">
        <v>67.244698150000005</v>
      </c>
      <c r="H26" s="16">
        <v>2.3797537800000002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34.55645646</v>
      </c>
      <c r="F27" s="16">
        <v>1.97174501</v>
      </c>
      <c r="G27" s="14">
        <v>65.443543539999993</v>
      </c>
      <c r="H27" s="16">
        <v>1.97174501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38.634275680000002</v>
      </c>
      <c r="F28" s="16">
        <v>2.1143287000000002</v>
      </c>
      <c r="G28" s="14">
        <v>61.365724319999998</v>
      </c>
      <c r="H28" s="16">
        <v>2.1143287000000002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19.714101790000001</v>
      </c>
      <c r="F29" s="16">
        <v>1.8022725500000001</v>
      </c>
      <c r="G29" s="14">
        <v>80.285898209999999</v>
      </c>
      <c r="H29" s="16">
        <v>1.8022725500000001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30.871694430000002</v>
      </c>
      <c r="F30" s="16">
        <v>2.24066784</v>
      </c>
      <c r="G30" s="14">
        <v>69.128305569999995</v>
      </c>
      <c r="H30" s="16">
        <v>2.24066784</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27.443453989999998</v>
      </c>
      <c r="F31" s="16">
        <v>2.1406471100000002</v>
      </c>
      <c r="G31" s="14">
        <v>72.556546010000005</v>
      </c>
      <c r="H31" s="16">
        <v>2.1406471100000002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38.052213940000001</v>
      </c>
      <c r="F33" s="16">
        <v>2.3340752</v>
      </c>
      <c r="G33" s="14">
        <v>61.947786059999999</v>
      </c>
      <c r="H33" s="16">
        <v>2.3340752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37.336696379999999</v>
      </c>
      <c r="F34" s="16">
        <v>2.1573795699999998</v>
      </c>
      <c r="G34" s="14">
        <v>62.663303620000001</v>
      </c>
      <c r="H34" s="16">
        <v>2.1573795699999998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32.796827749999999</v>
      </c>
      <c r="F35" s="16">
        <v>2.7255750399999998</v>
      </c>
      <c r="G35" s="14">
        <v>67.203172249999994</v>
      </c>
      <c r="H35" s="16">
        <v>2.7255750399999998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26.1641598</v>
      </c>
      <c r="F36" s="16">
        <v>1.9700633400000001</v>
      </c>
      <c r="G36" s="14">
        <v>73.835840200000007</v>
      </c>
      <c r="H36" s="16">
        <v>1.9700633400000001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35.21161515</v>
      </c>
      <c r="F37" s="16">
        <v>2.2737606499999998</v>
      </c>
      <c r="G37" s="14">
        <v>64.78838485</v>
      </c>
      <c r="H37" s="16">
        <v>2.2737606499999998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46.985948</v>
      </c>
      <c r="F39" s="16">
        <v>2.6111468599999998</v>
      </c>
      <c r="G39" s="14">
        <v>53.014052</v>
      </c>
      <c r="H39" s="16">
        <v>2.6111468599999998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39.913726400000002</v>
      </c>
      <c r="F40" s="16">
        <v>2.2205530499999999</v>
      </c>
      <c r="G40" s="14">
        <v>60.086273599999998</v>
      </c>
      <c r="H40" s="16">
        <v>2.2205530499999999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32.738394360000001</v>
      </c>
      <c r="F41" s="16">
        <v>1.93068978</v>
      </c>
      <c r="G41" s="14">
        <v>67.261605639999999</v>
      </c>
      <c r="H41" s="16">
        <v>1.93068978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33.323811041875004</v>
      </c>
      <c r="F42" s="16">
        <f>IF(COUNT(F7:F41) &gt; 0, SQRT(SUMSQ(F7:F41)/(COUNT(F7:F41)*COUNT(F7:F41)) ), "—")</f>
        <v>0.38551140591298433</v>
      </c>
      <c r="G42" s="14">
        <f>IF(COUNT(G7:G41) &gt; 0, AVERAGE(G7:G41), "—")</f>
        <v>66.67618895812501</v>
      </c>
      <c r="H42" s="16">
        <f>IF(COUNT(H7:H41) &gt; 0, SQRT(SUMSQ(H7:H41)/(COUNT(H7:H41)*COUNT(H7:H41)) ), "—")</f>
        <v>0.38551140591298433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50.125414970000001</v>
      </c>
      <c r="F46" s="16">
        <v>1.2359057899999999</v>
      </c>
      <c r="G46" s="14">
        <v>49.874585029999999</v>
      </c>
      <c r="H46" s="16">
        <v>1.2359057899999999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47.82007814</v>
      </c>
      <c r="F47" s="16">
        <v>2.1437616899999998</v>
      </c>
      <c r="G47" s="14">
        <v>52.17992186</v>
      </c>
      <c r="H47" s="16">
        <v>2.1437616899999998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29.0165653</v>
      </c>
      <c r="F48" s="16">
        <v>2.2497377900000002</v>
      </c>
      <c r="G48" s="14">
        <v>70.983434700000004</v>
      </c>
      <c r="H48" s="16">
        <v>2.2497377900000002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46.240229380000002</v>
      </c>
      <c r="F50" s="16">
        <v>2.2979776599999999</v>
      </c>
      <c r="G50" s="14">
        <v>53.759770619999998</v>
      </c>
      <c r="H50" s="16">
        <v>2.2979776599999999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39.888836060000003</v>
      </c>
      <c r="F51" s="16">
        <v>2.5103188200000002</v>
      </c>
      <c r="G51" s="14">
        <v>60.111163939999997</v>
      </c>
      <c r="H51" s="16">
        <v>2.5103188200000002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32.283502949999999</v>
      </c>
      <c r="F52" s="16">
        <v>2.5492390299999999</v>
      </c>
      <c r="G52" s="14">
        <v>67.716497050000001</v>
      </c>
      <c r="H52" s="16">
        <v>2.5492390299999999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(2288/B53*100)</f>
        <v>82.898550724637673</v>
      </c>
      <c r="D53" s="15">
        <v>472</v>
      </c>
      <c r="E53" s="14">
        <v>51.239153780000002</v>
      </c>
      <c r="F53" s="16">
        <v>2.40930752</v>
      </c>
      <c r="G53" s="14">
        <v>48.760846219999998</v>
      </c>
      <c r="H53" s="16">
        <v>2.40930752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38.23034277</v>
      </c>
      <c r="F56" s="16">
        <v>2.7083722099999998</v>
      </c>
      <c r="G56" s="14">
        <v>61.76965723</v>
      </c>
      <c r="H56" s="16">
        <v>2.7083722099999998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37.873049379999998</v>
      </c>
      <c r="F61" s="16">
        <v>2.0081725499999998</v>
      </c>
      <c r="G61" s="14">
        <v>62.126950620000002</v>
      </c>
      <c r="H61" s="16">
        <v>2.0081725499999998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33.862703779999997</v>
      </c>
      <c r="F62" s="16">
        <v>2.3351759400000001</v>
      </c>
      <c r="G62" s="14">
        <v>66.137296219999996</v>
      </c>
      <c r="H62" s="16">
        <v>2.3351759400000001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51.353325359999999</v>
      </c>
      <c r="F66" s="16">
        <v>2.7526771499999998</v>
      </c>
      <c r="G66" s="14">
        <v>48.646674640000001</v>
      </c>
      <c r="H66" s="16">
        <v>2.7526771499999998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(2945/B67*100)</f>
        <v>85.115606936416185</v>
      </c>
      <c r="D67" s="15">
        <v>515</v>
      </c>
      <c r="E67" s="14">
        <v>44.550008149999996</v>
      </c>
      <c r="F67" s="16">
        <v>2.5557193100000002</v>
      </c>
      <c r="G67" s="14">
        <v>55.449991850000004</v>
      </c>
      <c r="H67" s="16">
        <v>2.5557193100000002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38.486369600000003</v>
      </c>
      <c r="F70" s="16">
        <v>2.4249129300000001</v>
      </c>
      <c r="G70" s="14">
        <v>61.513630399999997</v>
      </c>
      <c r="H70" s="16">
        <v>2.4249129300000001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27.265470830000002</v>
      </c>
      <c r="F72" s="16">
        <v>1.8128738799999999</v>
      </c>
      <c r="G72" s="14">
        <v>72.734529170000002</v>
      </c>
      <c r="H72" s="16">
        <v>1.8128738799999999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50.71521036</v>
      </c>
      <c r="F73" s="16">
        <v>2.05607125</v>
      </c>
      <c r="G73" s="14">
        <v>49.28478964</v>
      </c>
      <c r="H73" s="16">
        <v>2.05607125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64.062385399999997</v>
      </c>
      <c r="F75" s="16">
        <v>2.4330276300000002</v>
      </c>
      <c r="G75" s="14">
        <v>35.937614600000003</v>
      </c>
      <c r="H75" s="16">
        <v>2.4330276300000002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48.79563254</v>
      </c>
      <c r="F76" s="16">
        <v>1.6077338699999999</v>
      </c>
      <c r="G76" s="14">
        <v>51.20436746</v>
      </c>
      <c r="H76" s="16">
        <v>1.6077338699999999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(2609/B77*100)</f>
        <v>82.720355104629036</v>
      </c>
      <c r="D77" s="15">
        <v>545</v>
      </c>
      <c r="E77" s="14">
        <v>40.962721479999999</v>
      </c>
      <c r="F77" s="16">
        <v>1.6322199900000001</v>
      </c>
      <c r="G77" s="14">
        <v>59.037278520000001</v>
      </c>
      <c r="H77" s="16">
        <v>1.6322199900000001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58.209881520000003</v>
      </c>
      <c r="F81" s="16">
        <v>2.1591229300000001</v>
      </c>
      <c r="G81" s="14">
        <v>41.790118479999997</v>
      </c>
      <c r="H81" s="16">
        <v>2.1591229300000001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45.949688020000004</v>
      </c>
      <c r="F7" s="16">
        <v>1.68037536</v>
      </c>
      <c r="G7" s="14">
        <v>54.050311979999996</v>
      </c>
      <c r="H7" s="16">
        <v>1.68037536</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54.489310740000001</v>
      </c>
      <c r="F8" s="16">
        <v>2.2689337200000002</v>
      </c>
      <c r="G8" s="14">
        <v>45.510689259999999</v>
      </c>
      <c r="H8" s="16">
        <v>2.2689337200000002</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60.12422102</v>
      </c>
      <c r="F9" s="16">
        <v>1.90893066</v>
      </c>
      <c r="G9" s="14">
        <v>39.87577898</v>
      </c>
      <c r="H9" s="16">
        <v>1.90893066</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42.502366389999999</v>
      </c>
      <c r="F10" s="16">
        <v>1.5346761799999999</v>
      </c>
      <c r="G10" s="14">
        <v>57.497633610000001</v>
      </c>
      <c r="H10" s="16">
        <v>1.5346761799999999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73.14610476</v>
      </c>
      <c r="F11" s="16">
        <v>2.35462017</v>
      </c>
      <c r="G11" s="14">
        <v>26.85389524</v>
      </c>
      <c r="H11" s="16">
        <v>2.35462017</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58.120580699999998</v>
      </c>
      <c r="F12" s="16">
        <v>2.09261959</v>
      </c>
      <c r="G12" s="14">
        <v>41.879419300000002</v>
      </c>
      <c r="H12" s="16">
        <v>2.09261959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51.169593380000002</v>
      </c>
      <c r="F13" s="16">
        <v>2.7032906699999999</v>
      </c>
      <c r="G13" s="14">
        <v>48.830406619999998</v>
      </c>
      <c r="H13" s="16">
        <v>2.7032906699999999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47.547087449999999</v>
      </c>
      <c r="F14" s="16">
        <v>2.2783823000000001</v>
      </c>
      <c r="G14" s="14">
        <v>52.452912550000001</v>
      </c>
      <c r="H14" s="16">
        <v>2.2783823000000001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53.872921310000002</v>
      </c>
      <c r="F15" s="16">
        <v>2.2480761899999999</v>
      </c>
      <c r="G15" s="14">
        <v>46.127078689999998</v>
      </c>
      <c r="H15" s="16">
        <v>2.2480761899999999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56.447766649999998</v>
      </c>
      <c r="F16" s="16">
        <v>2.1790436199999998</v>
      </c>
      <c r="G16" s="14">
        <v>43.552233350000002</v>
      </c>
      <c r="H16" s="16">
        <v>2.1790436199999998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50.721981900000003</v>
      </c>
      <c r="F17" s="16">
        <v>2.1294795099999999</v>
      </c>
      <c r="G17" s="14">
        <v>49.278018099999997</v>
      </c>
      <c r="H17" s="16">
        <v>2.1294795099999999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64.633472010000006</v>
      </c>
      <c r="F18" s="16">
        <v>2.13655069</v>
      </c>
      <c r="G18" s="14">
        <v>35.366527990000002</v>
      </c>
      <c r="H18" s="16">
        <v>2.13655069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74.059860880000002</v>
      </c>
      <c r="F19" s="16">
        <v>2.5098965600000001</v>
      </c>
      <c r="G19" s="14">
        <v>25.940139120000001</v>
      </c>
      <c r="H19" s="16">
        <v>2.5098965600000001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54.355747350000001</v>
      </c>
      <c r="F20" s="16">
        <v>2.7976931899999999</v>
      </c>
      <c r="G20" s="14">
        <v>45.644252649999999</v>
      </c>
      <c r="H20" s="16">
        <v>2.7976931899999999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59.803222060000003</v>
      </c>
      <c r="F22" s="16">
        <v>2.37602717</v>
      </c>
      <c r="G22" s="14">
        <v>40.196777939999997</v>
      </c>
      <c r="H22" s="16">
        <v>2.37602717</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57.06573753</v>
      </c>
      <c r="F23" s="16">
        <v>2.7627443500000002</v>
      </c>
      <c r="G23" s="14">
        <v>42.93426247</v>
      </c>
      <c r="H23" s="16">
        <v>2.7627443500000002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19.198343149999999</v>
      </c>
      <c r="F24" s="16">
        <v>1.5788184700000001</v>
      </c>
      <c r="G24" s="14">
        <v>80.801656850000001</v>
      </c>
      <c r="H24" s="16">
        <v>1.5788184700000001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42.444139730000003</v>
      </c>
      <c r="F25" s="16">
        <v>2.4583213900000001</v>
      </c>
      <c r="G25" s="14">
        <v>57.555860269999997</v>
      </c>
      <c r="H25" s="16">
        <v>2.4583213900000001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65.074547620000004</v>
      </c>
      <c r="F26" s="16">
        <v>2.8785493099999999</v>
      </c>
      <c r="G26" s="14">
        <v>34.925452380000003</v>
      </c>
      <c r="H26" s="16">
        <v>2.8785493099999999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59.16858423</v>
      </c>
      <c r="F27" s="16">
        <v>2.0600431399999999</v>
      </c>
      <c r="G27" s="14">
        <v>40.83141577</v>
      </c>
      <c r="H27" s="16">
        <v>2.0600431399999999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78.766121670000004</v>
      </c>
      <c r="F28" s="16">
        <v>1.7780350599999999</v>
      </c>
      <c r="G28" s="14">
        <v>21.23387833</v>
      </c>
      <c r="H28" s="16">
        <v>1.7780350599999999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63.61516065</v>
      </c>
      <c r="F29" s="16">
        <v>2.0991281800000001</v>
      </c>
      <c r="G29" s="14">
        <v>36.38483935</v>
      </c>
      <c r="H29" s="16">
        <v>2.0991281800000001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46.519425650000002</v>
      </c>
      <c r="F30" s="16">
        <v>2.36965995</v>
      </c>
      <c r="G30" s="14">
        <v>53.480574349999998</v>
      </c>
      <c r="H30" s="16">
        <v>2.36965995</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60.495631090000003</v>
      </c>
      <c r="F31" s="16">
        <v>2.1142362600000002</v>
      </c>
      <c r="G31" s="14">
        <v>39.504368909999997</v>
      </c>
      <c r="H31" s="16">
        <v>2.1142362600000002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57.889359079999998</v>
      </c>
      <c r="F33" s="16">
        <v>2.41320158</v>
      </c>
      <c r="G33" s="14">
        <v>42.110640920000002</v>
      </c>
      <c r="H33" s="16">
        <v>2.41320158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64.513518410000003</v>
      </c>
      <c r="F34" s="16">
        <v>2.2435334500000002</v>
      </c>
      <c r="G34" s="14">
        <v>35.486481589999997</v>
      </c>
      <c r="H34" s="16">
        <v>2.2435334500000002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53.786312350000003</v>
      </c>
      <c r="F35" s="16">
        <v>3.2511557400000002</v>
      </c>
      <c r="G35" s="14">
        <v>46.213687649999997</v>
      </c>
      <c r="H35" s="16">
        <v>3.2511557400000002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54.504043320000001</v>
      </c>
      <c r="F36" s="16">
        <v>2.0261299199999998</v>
      </c>
      <c r="G36" s="14">
        <v>45.495956679999999</v>
      </c>
      <c r="H36" s="16">
        <v>2.0261299199999998</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60.41914491</v>
      </c>
      <c r="F37" s="16">
        <v>2.4543410799999998</v>
      </c>
      <c r="G37" s="14">
        <v>39.58085509</v>
      </c>
      <c r="H37" s="16">
        <v>2.4543410799999998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73.482843399999993</v>
      </c>
      <c r="F39" s="16">
        <v>2.1506401400000001</v>
      </c>
      <c r="G39" s="14">
        <v>26.5171566</v>
      </c>
      <c r="H39" s="16">
        <v>2.1506401400000001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54.649231639999996</v>
      </c>
      <c r="F40" s="16">
        <v>2.2981590500000002</v>
      </c>
      <c r="G40" s="14">
        <v>45.350768360000004</v>
      </c>
      <c r="H40" s="16">
        <v>2.2981590500000002</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48.960511629999999</v>
      </c>
      <c r="F41" s="16">
        <v>2.30327663</v>
      </c>
      <c r="G41" s="14">
        <v>51.039488370000001</v>
      </c>
      <c r="H41" s="16">
        <v>2.30327663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56.484268146250002</v>
      </c>
      <c r="F42" s="16">
        <f>IF(COUNT(F7:F41) &gt; 0, SQRT(SUMSQ(F7:F41)/(COUNT(F7:F41)*COUNT(F7:F41)) ), "—")</f>
        <v>0.40527085773147303</v>
      </c>
      <c r="G42" s="14">
        <f>IF(COUNT(G7:G41) &gt; 0, AVERAGE(G7:G41), "—")</f>
        <v>43.515731853749998</v>
      </c>
      <c r="H42" s="16">
        <f>IF(COUNT(H7:H41) &gt; 0, SQRT(SUMSQ(H7:H41)/(COUNT(H7:H41)*COUNT(H7:H41)) ), "—")</f>
        <v>0.40527085773147303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75.498771099999999</v>
      </c>
      <c r="F46" s="16">
        <v>1.4681407</v>
      </c>
      <c r="G46" s="14">
        <v>24.501228900000001</v>
      </c>
      <c r="H46" s="16">
        <v>1.4681407</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74.809651930000001</v>
      </c>
      <c r="F47" s="16">
        <v>2.02308558</v>
      </c>
      <c r="G47" s="14">
        <v>25.190348069999999</v>
      </c>
      <c r="H47" s="16">
        <v>2.02308558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48.61604595</v>
      </c>
      <c r="F48" s="16">
        <v>2.2277510999999999</v>
      </c>
      <c r="G48" s="14">
        <v>51.38395405</v>
      </c>
      <c r="H48" s="16">
        <v>2.2277510999999999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78.673496249999999</v>
      </c>
      <c r="F50" s="16">
        <v>1.65820097</v>
      </c>
      <c r="G50" s="14">
        <v>21.326503750000001</v>
      </c>
      <c r="H50" s="16">
        <v>1.65820097</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78.912389759999996</v>
      </c>
      <c r="F51" s="16">
        <v>1.8250529499999999</v>
      </c>
      <c r="G51" s="14">
        <v>21.08761024</v>
      </c>
      <c r="H51" s="16">
        <v>1.8250529499999999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65.537308199999998</v>
      </c>
      <c r="F52" s="16">
        <v>2.4047384699999999</v>
      </c>
      <c r="G52" s="14">
        <v>34.462691800000002</v>
      </c>
      <c r="H52" s="16">
        <v>2.4047384699999999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(2288/B53*100)</f>
        <v>82.898550724637673</v>
      </c>
      <c r="D53" s="15">
        <v>472</v>
      </c>
      <c r="E53" s="14">
        <v>68.611365379999995</v>
      </c>
      <c r="F53" s="16">
        <v>2.0217207500000001</v>
      </c>
      <c r="G53" s="14">
        <v>31.388634620000001</v>
      </c>
      <c r="H53" s="16">
        <v>2.0217207500000001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45.64602069</v>
      </c>
      <c r="F56" s="16">
        <v>2.8043635299999998</v>
      </c>
      <c r="G56" s="14">
        <v>54.35397931</v>
      </c>
      <c r="H56" s="16">
        <v>2.8043635299999998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62.88579816</v>
      </c>
      <c r="F61" s="16">
        <v>2.4706536699999999</v>
      </c>
      <c r="G61" s="14">
        <v>37.11420184</v>
      </c>
      <c r="H61" s="16">
        <v>2.4706536699999999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50.853495969999997</v>
      </c>
      <c r="F62" s="16">
        <v>2.4751665100000002</v>
      </c>
      <c r="G62" s="14">
        <v>49.146504030000003</v>
      </c>
      <c r="H62" s="16">
        <v>2.4751665100000002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73.701578490000003</v>
      </c>
      <c r="F66" s="16">
        <v>2.2608683900000002</v>
      </c>
      <c r="G66" s="14">
        <v>26.298421510000001</v>
      </c>
      <c r="H66" s="16">
        <v>2.2608683900000002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(2945/B67*100)</f>
        <v>85.115606936416185</v>
      </c>
      <c r="D67" s="15">
        <v>515</v>
      </c>
      <c r="E67" s="14">
        <v>79.288562729999995</v>
      </c>
      <c r="F67" s="16">
        <v>2.0270685899999998</v>
      </c>
      <c r="G67" s="14">
        <v>20.711437270000001</v>
      </c>
      <c r="H67" s="16">
        <v>2.0270685899999998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61.948403650000003</v>
      </c>
      <c r="F70" s="16">
        <v>2.9214540900000001</v>
      </c>
      <c r="G70" s="14">
        <v>38.051596349999997</v>
      </c>
      <c r="H70" s="16">
        <v>2.9214540900000001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45.631335649999997</v>
      </c>
      <c r="F72" s="16">
        <v>1.92492982</v>
      </c>
      <c r="G72" s="14">
        <v>54.368664350000003</v>
      </c>
      <c r="H72" s="16">
        <v>1.92492982</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69.752462739999999</v>
      </c>
      <c r="F73" s="16">
        <v>2.07721475</v>
      </c>
      <c r="G73" s="14">
        <v>30.247537260000001</v>
      </c>
      <c r="H73" s="16">
        <v>2.07721475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78.136915060000007</v>
      </c>
      <c r="F75" s="16">
        <v>1.83590366</v>
      </c>
      <c r="G75" s="14">
        <v>21.86308494</v>
      </c>
      <c r="H75" s="16">
        <v>1.83590366</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71.748809530000003</v>
      </c>
      <c r="F76" s="16">
        <v>1.6288239</v>
      </c>
      <c r="G76" s="14">
        <v>28.251190470000001</v>
      </c>
      <c r="H76" s="16">
        <v>1.6288239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(2609/B77*100)</f>
        <v>82.720355104629036</v>
      </c>
      <c r="D77" s="15">
        <v>545</v>
      </c>
      <c r="E77" s="14">
        <v>78.121849909999995</v>
      </c>
      <c r="F77" s="16">
        <v>1.81216095</v>
      </c>
      <c r="G77" s="14">
        <v>21.878150089999998</v>
      </c>
      <c r="H77" s="16">
        <v>1.81216095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68.464166419999998</v>
      </c>
      <c r="F81" s="16">
        <v>2.0465109500000001</v>
      </c>
      <c r="G81" s="14">
        <v>31.535833579999998</v>
      </c>
      <c r="H81" s="16">
        <v>2.0465109500000001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3443</v>
      </c>
      <c r="C8" s="14">
        <f>(2863/B8*100)</f>
        <v>83.154225965727562</v>
      </c>
      <c r="D8" s="15">
        <v>580</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4752</v>
      </c>
      <c r="C9" s="14">
        <f>(3951/B9*100)</f>
        <v>83.143939393939391</v>
      </c>
      <c r="D9" s="15">
        <v>801</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10022</v>
      </c>
      <c r="C10" s="14">
        <f>(8318/B10*100)</f>
        <v>82.997405707443633</v>
      </c>
      <c r="D10" s="15">
        <v>1704</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3500</v>
      </c>
      <c r="C11" s="14">
        <f>(2924/B11*100)</f>
        <v>83.542857142857144</v>
      </c>
      <c r="D11" s="15">
        <v>576</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3422</v>
      </c>
      <c r="C12" s="14">
        <f>(2827/B12*100)</f>
        <v>82.612507305669197</v>
      </c>
      <c r="D12" s="15">
        <v>595</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3602</v>
      </c>
      <c r="C13" s="14">
        <f>(3008/B13*100)</f>
        <v>83.509161576901718</v>
      </c>
      <c r="D13" s="15">
        <v>594</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2788</v>
      </c>
      <c r="C14" s="14">
        <f>(2311/B14*100)</f>
        <v>82.890961262553802</v>
      </c>
      <c r="D14" s="15">
        <v>477</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2863</v>
      </c>
      <c r="C15" s="14">
        <f>(2371/B15*100)</f>
        <v>82.81522878099895</v>
      </c>
      <c r="D15" s="15">
        <v>492</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3111</v>
      </c>
      <c r="C16" s="14">
        <f>(2564/B16*100)</f>
        <v>82.417229186756671</v>
      </c>
      <c r="D16" s="15">
        <v>547</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3197</v>
      </c>
      <c r="C17" s="14">
        <f>(2645/B17*100)</f>
        <v>82.733812949640281</v>
      </c>
      <c r="D17" s="15">
        <v>552</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2706</v>
      </c>
      <c r="C18" s="14">
        <f>(2280/B18*100)</f>
        <v>84.257206208425714</v>
      </c>
      <c r="D18" s="15">
        <v>426</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2850</v>
      </c>
      <c r="C19" s="14">
        <f>(2364/B19*100)</f>
        <v>82.94736842105263</v>
      </c>
      <c r="D19" s="15">
        <v>486</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1741</v>
      </c>
      <c r="C20" s="14">
        <f>(1456/B20*100)</f>
        <v>83.630097645031583</v>
      </c>
      <c r="D20" s="15">
        <v>285</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5792</v>
      </c>
      <c r="C23" s="14">
        <f>(4807/B23*100)</f>
        <v>82.993784530386733</v>
      </c>
      <c r="D23" s="15">
        <v>985</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3309</v>
      </c>
      <c r="C24" s="14">
        <f>(2714/B24*100)</f>
        <v>82.018736778482932</v>
      </c>
      <c r="D24" s="15">
        <v>595</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2669</v>
      </c>
      <c r="C25" s="14">
        <f>(2200/B25*100)</f>
        <v>82.427875608842257</v>
      </c>
      <c r="D25" s="15">
        <v>469</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2419</v>
      </c>
      <c r="C26" s="14">
        <f>(2000/B26*100)</f>
        <v>82.678792889623807</v>
      </c>
      <c r="D26" s="15">
        <v>419</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2683</v>
      </c>
      <c r="C27" s="14">
        <f>(2228/B27*100)</f>
        <v>83.041371598956388</v>
      </c>
      <c r="D27" s="15">
        <v>455</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3803</v>
      </c>
      <c r="C28" s="14">
        <f>(3164/B28*100)</f>
        <v>83.197475677097032</v>
      </c>
      <c r="D28" s="15">
        <v>639</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2700</v>
      </c>
      <c r="C29" s="14">
        <f>(2241/B29*100)</f>
        <v>83</v>
      </c>
      <c r="D29" s="15">
        <v>459</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2257</v>
      </c>
      <c r="C30" s="14">
        <f>(1879/B30*100)</f>
        <v>83.252104563579977</v>
      </c>
      <c r="D30" s="15">
        <v>378</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2706</v>
      </c>
      <c r="C31" s="14">
        <f>(2223/B31*100)</f>
        <v>82.150776053215083</v>
      </c>
      <c r="D31" s="15">
        <v>483</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3035</v>
      </c>
      <c r="C34" s="14">
        <f>(2555/B34*100)</f>
        <v>84.184514003294893</v>
      </c>
      <c r="D34" s="15">
        <v>480</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2901</v>
      </c>
      <c r="C35" s="14">
        <f>(2416/B35*100)</f>
        <v>83.281627025163743</v>
      </c>
      <c r="D35" s="15">
        <v>485</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3404</v>
      </c>
      <c r="C36" s="14">
        <f>(2815/B36*100)</f>
        <v>82.696827262044664</v>
      </c>
      <c r="D36" s="15">
        <v>589</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2731</v>
      </c>
      <c r="C37" s="14">
        <f>(2277/B37*100)</f>
        <v>83.376052727938486</v>
      </c>
      <c r="D37" s="15">
        <v>454</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6922</v>
      </c>
      <c r="C40" s="14">
        <f>(5712/B40*100)</f>
        <v>82.519503033805265</v>
      </c>
      <c r="D40" s="15">
        <v>1210</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2854</v>
      </c>
      <c r="C41" s="14">
        <f>(2386/B41*100)</f>
        <v>83.601962158374207</v>
      </c>
      <c r="D41" s="15">
        <v>468</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2823</v>
      </c>
      <c r="C47" s="14">
        <f>(2337/B47*100)</f>
        <v>82.784272051009566</v>
      </c>
      <c r="D47" s="15">
        <v>486</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4682</v>
      </c>
      <c r="C48" s="14">
        <f>(3883/B48*100)</f>
        <v>82.934643314822722</v>
      </c>
      <c r="D48" s="15">
        <v>799</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3494</v>
      </c>
      <c r="C51" s="14">
        <f>(2962/B51*100)</f>
        <v>84.773898111047501</v>
      </c>
      <c r="D51" s="15">
        <v>532</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3013</v>
      </c>
      <c r="C52" s="14">
        <f>(2482/B52*100)</f>
        <v>82.376369067374711</v>
      </c>
      <c r="D52" s="15">
        <v>531</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2760</v>
      </c>
      <c r="C53" s="14">
        <f>(2288/B53*100)</f>
        <v>82.898550724637673</v>
      </c>
      <c r="D53" s="15">
        <v>472</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2230</v>
      </c>
      <c r="C62" s="14">
        <f>(1840/B62*100)</f>
        <v>82.511210762331842</v>
      </c>
      <c r="D62" s="15">
        <v>390</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3460</v>
      </c>
      <c r="C67" s="14">
        <f>(2945/B67*100)</f>
        <v>85.115606936416185</v>
      </c>
      <c r="D67" s="15">
        <v>515</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4652</v>
      </c>
      <c r="C73" s="14">
        <f>(3880/B73*100)</f>
        <v>83.404987102321584</v>
      </c>
      <c r="D73" s="15">
        <v>772</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7115</v>
      </c>
      <c r="C76" s="14">
        <f>(5896/B76*100)</f>
        <v>82.867182009838373</v>
      </c>
      <c r="D76" s="15">
        <v>1219</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3154</v>
      </c>
      <c r="C77" s="14">
        <f>(2609/B77*100)</f>
        <v>82.720355104629036</v>
      </c>
      <c r="D77" s="15">
        <v>545</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288</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7163</v>
      </c>
      <c r="C7" s="14">
        <f>(5957/B7*100)</f>
        <v>83.163478989250322</v>
      </c>
      <c r="D7" s="15">
        <v>1206</v>
      </c>
      <c r="E7" s="14">
        <v>21.050429940000001</v>
      </c>
      <c r="F7" s="16">
        <v>1.27236664</v>
      </c>
      <c r="G7" s="14">
        <v>8.7279513699999995</v>
      </c>
      <c r="H7" s="16">
        <v>0.88722369999999995</v>
      </c>
      <c r="I7" s="14">
        <v>14.860133129999999</v>
      </c>
      <c r="J7" s="16">
        <v>1.2649919700000001</v>
      </c>
      <c r="K7" s="14">
        <v>55.361485549999998</v>
      </c>
      <c r="L7" s="16">
        <v>1.5022212699999999</v>
      </c>
      <c r="M7" s="14" t="s">
        <v>139</v>
      </c>
      <c r="N7" s="16" t="s">
        <v>139</v>
      </c>
      <c r="O7" s="14">
        <v>0</v>
      </c>
      <c r="P7" s="16">
        <v>0</v>
      </c>
      <c r="Q7" s="14">
        <v>0</v>
      </c>
      <c r="R7" s="16">
        <v>0</v>
      </c>
      <c r="S7" s="14">
        <v>0</v>
      </c>
      <c r="T7" s="16">
        <v>0</v>
      </c>
      <c r="U7" s="14">
        <v>0</v>
      </c>
      <c r="V7" s="16">
        <v>0</v>
      </c>
    </row>
    <row r="8" spans="1:22" x14ac:dyDescent="0.25">
      <c r="A8" s="11" t="s">
        <v>140</v>
      </c>
      <c r="B8" s="13">
        <v>3443</v>
      </c>
      <c r="C8" s="14">
        <f>(2863/B8*100)</f>
        <v>83.154225965727562</v>
      </c>
      <c r="D8" s="15">
        <v>580</v>
      </c>
      <c r="E8" s="14">
        <v>25.40748949</v>
      </c>
      <c r="F8" s="16">
        <v>2.0244049799999999</v>
      </c>
      <c r="G8" s="14">
        <v>11.814881959999999</v>
      </c>
      <c r="H8" s="16">
        <v>1.61294048</v>
      </c>
      <c r="I8" s="14">
        <v>12.812462399999999</v>
      </c>
      <c r="J8" s="16">
        <v>1.57149932</v>
      </c>
      <c r="K8" s="14">
        <v>49.965166150000002</v>
      </c>
      <c r="L8" s="16">
        <v>2.2167567199999998</v>
      </c>
      <c r="M8" s="14" t="s">
        <v>139</v>
      </c>
      <c r="N8" s="16" t="s">
        <v>139</v>
      </c>
      <c r="O8" s="14">
        <v>0</v>
      </c>
      <c r="P8" s="16">
        <v>0</v>
      </c>
      <c r="Q8" s="14">
        <v>0</v>
      </c>
      <c r="R8" s="16">
        <v>0</v>
      </c>
      <c r="S8" s="14">
        <v>0</v>
      </c>
      <c r="T8" s="16">
        <v>0</v>
      </c>
      <c r="U8" s="14">
        <v>0</v>
      </c>
      <c r="V8" s="16">
        <v>0</v>
      </c>
    </row>
    <row r="9" spans="1:22" x14ac:dyDescent="0.25">
      <c r="A9" s="11" t="s">
        <v>141</v>
      </c>
      <c r="B9" s="13">
        <v>4752</v>
      </c>
      <c r="C9" s="14">
        <f>(3951/B9*100)</f>
        <v>83.143939393939391</v>
      </c>
      <c r="D9" s="15">
        <v>801</v>
      </c>
      <c r="E9" s="14">
        <v>26.537334120000001</v>
      </c>
      <c r="F9" s="16">
        <v>1.9002363799999999</v>
      </c>
      <c r="G9" s="14">
        <v>9.9025158900000001</v>
      </c>
      <c r="H9" s="16">
        <v>1.17062461</v>
      </c>
      <c r="I9" s="14">
        <v>17.878487719999999</v>
      </c>
      <c r="J9" s="16">
        <v>1.51987472</v>
      </c>
      <c r="K9" s="14">
        <v>45.681662279999998</v>
      </c>
      <c r="L9" s="16">
        <v>1.8204264400000001</v>
      </c>
      <c r="M9" s="14" t="s">
        <v>139</v>
      </c>
      <c r="N9" s="16" t="s">
        <v>139</v>
      </c>
      <c r="O9" s="14">
        <v>0</v>
      </c>
      <c r="P9" s="16">
        <v>0</v>
      </c>
      <c r="Q9" s="14">
        <v>0</v>
      </c>
      <c r="R9" s="16">
        <v>0</v>
      </c>
      <c r="S9" s="14">
        <v>0</v>
      </c>
      <c r="T9" s="16">
        <v>0</v>
      </c>
      <c r="U9" s="14">
        <v>0</v>
      </c>
      <c r="V9" s="16">
        <v>0</v>
      </c>
    </row>
    <row r="10" spans="1:22" x14ac:dyDescent="0.25">
      <c r="A10" s="11" t="s">
        <v>142</v>
      </c>
      <c r="B10" s="13">
        <v>10022</v>
      </c>
      <c r="C10" s="14">
        <f>(8318/B10*100)</f>
        <v>82.997405707443633</v>
      </c>
      <c r="D10" s="15">
        <v>1704</v>
      </c>
      <c r="E10" s="14">
        <v>21.881091680000001</v>
      </c>
      <c r="F10" s="16">
        <v>1.50581473</v>
      </c>
      <c r="G10" s="14">
        <v>7.7739046299999996</v>
      </c>
      <c r="H10" s="16">
        <v>0.91545014999999996</v>
      </c>
      <c r="I10" s="14">
        <v>13.727852110000001</v>
      </c>
      <c r="J10" s="16">
        <v>1.1517927999999999</v>
      </c>
      <c r="K10" s="14">
        <v>56.617151589999999</v>
      </c>
      <c r="L10" s="16">
        <v>1.66791797</v>
      </c>
      <c r="M10" s="14" t="s">
        <v>139</v>
      </c>
      <c r="N10" s="16" t="s">
        <v>139</v>
      </c>
      <c r="O10" s="14">
        <v>0</v>
      </c>
      <c r="P10" s="16">
        <v>0</v>
      </c>
      <c r="Q10" s="14">
        <v>0</v>
      </c>
      <c r="R10" s="16">
        <v>0</v>
      </c>
      <c r="S10" s="14">
        <v>0</v>
      </c>
      <c r="T10" s="16">
        <v>0</v>
      </c>
      <c r="U10" s="14">
        <v>0</v>
      </c>
      <c r="V10" s="16">
        <v>0</v>
      </c>
    </row>
    <row r="11" spans="1:22" x14ac:dyDescent="0.25">
      <c r="A11" s="11" t="s">
        <v>143</v>
      </c>
      <c r="B11" s="13">
        <v>3500</v>
      </c>
      <c r="C11" s="14">
        <f>(2924/B11*100)</f>
        <v>83.542857142857144</v>
      </c>
      <c r="D11" s="15">
        <v>576</v>
      </c>
      <c r="E11" s="14">
        <v>46.049220460000001</v>
      </c>
      <c r="F11" s="16">
        <v>2.5354137300000001</v>
      </c>
      <c r="G11" s="14">
        <v>9.2183951000000004</v>
      </c>
      <c r="H11" s="16">
        <v>1.6749854</v>
      </c>
      <c r="I11" s="14">
        <v>14.44441617</v>
      </c>
      <c r="J11" s="16">
        <v>1.7119620799999999</v>
      </c>
      <c r="K11" s="14">
        <v>30.28796827</v>
      </c>
      <c r="L11" s="16">
        <v>2.1706083600000001</v>
      </c>
      <c r="M11" s="14" t="s">
        <v>139</v>
      </c>
      <c r="N11" s="16" t="s">
        <v>139</v>
      </c>
      <c r="O11" s="14">
        <v>0</v>
      </c>
      <c r="P11" s="16">
        <v>0</v>
      </c>
      <c r="Q11" s="14">
        <v>0</v>
      </c>
      <c r="R11" s="16">
        <v>0</v>
      </c>
      <c r="S11" s="14">
        <v>0</v>
      </c>
      <c r="T11" s="16">
        <v>0</v>
      </c>
      <c r="U11" s="14">
        <v>0</v>
      </c>
      <c r="V11" s="16">
        <v>0</v>
      </c>
    </row>
    <row r="12" spans="1:22" x14ac:dyDescent="0.25">
      <c r="A12" s="11" t="s">
        <v>144</v>
      </c>
      <c r="B12" s="13">
        <v>3422</v>
      </c>
      <c r="C12" s="14">
        <f>(2827/B12*100)</f>
        <v>82.612507305669197</v>
      </c>
      <c r="D12" s="15">
        <v>595</v>
      </c>
      <c r="E12" s="14">
        <v>20.661169080000001</v>
      </c>
      <c r="F12" s="16">
        <v>2.3781116</v>
      </c>
      <c r="G12" s="14">
        <v>10.27141492</v>
      </c>
      <c r="H12" s="16">
        <v>1.51406833</v>
      </c>
      <c r="I12" s="14">
        <v>12.635073220000001</v>
      </c>
      <c r="J12" s="16">
        <v>1.67535959</v>
      </c>
      <c r="K12" s="14">
        <v>56.432342779999999</v>
      </c>
      <c r="L12" s="16">
        <v>2.4438291699999999</v>
      </c>
      <c r="M12" s="14" t="s">
        <v>139</v>
      </c>
      <c r="N12" s="16" t="s">
        <v>139</v>
      </c>
      <c r="O12" s="14">
        <v>0</v>
      </c>
      <c r="P12" s="16">
        <v>0</v>
      </c>
      <c r="Q12" s="14">
        <v>0</v>
      </c>
      <c r="R12" s="16">
        <v>0</v>
      </c>
      <c r="S12" s="14">
        <v>0</v>
      </c>
      <c r="T12" s="16">
        <v>0</v>
      </c>
      <c r="U12" s="14">
        <v>0</v>
      </c>
      <c r="V12" s="16">
        <v>0</v>
      </c>
    </row>
    <row r="13" spans="1:22" x14ac:dyDescent="0.25">
      <c r="A13" s="11" t="s">
        <v>145</v>
      </c>
      <c r="B13" s="13">
        <v>3602</v>
      </c>
      <c r="C13" s="14">
        <f>(3008/B13*100)</f>
        <v>83.509161576901718</v>
      </c>
      <c r="D13" s="15">
        <v>594</v>
      </c>
      <c r="E13" s="14">
        <v>22.285308730000001</v>
      </c>
      <c r="F13" s="16">
        <v>1.91895459</v>
      </c>
      <c r="G13" s="14">
        <v>6.5358781700000002</v>
      </c>
      <c r="H13" s="16">
        <v>1.1880540799999999</v>
      </c>
      <c r="I13" s="14">
        <v>12.216952709999999</v>
      </c>
      <c r="J13" s="16">
        <v>1.53401765</v>
      </c>
      <c r="K13" s="14">
        <v>58.961860379999997</v>
      </c>
      <c r="L13" s="16">
        <v>2.1408610700000001</v>
      </c>
      <c r="M13" s="14" t="s">
        <v>139</v>
      </c>
      <c r="N13" s="16" t="s">
        <v>139</v>
      </c>
      <c r="O13" s="14">
        <v>0</v>
      </c>
      <c r="P13" s="16">
        <v>0</v>
      </c>
      <c r="Q13" s="14">
        <v>0</v>
      </c>
      <c r="R13" s="16">
        <v>0</v>
      </c>
      <c r="S13" s="14">
        <v>0</v>
      </c>
      <c r="T13" s="16">
        <v>0</v>
      </c>
      <c r="U13" s="14">
        <v>0</v>
      </c>
      <c r="V13" s="16">
        <v>0</v>
      </c>
    </row>
    <row r="14" spans="1:22" x14ac:dyDescent="0.25">
      <c r="A14" s="11" t="s">
        <v>146</v>
      </c>
      <c r="B14" s="13">
        <v>2788</v>
      </c>
      <c r="C14" s="14">
        <f>(2311/B14*100)</f>
        <v>82.890961262553802</v>
      </c>
      <c r="D14" s="15">
        <v>477</v>
      </c>
      <c r="E14" s="14">
        <v>19.950242729999999</v>
      </c>
      <c r="F14" s="16">
        <v>1.9640563099999999</v>
      </c>
      <c r="G14" s="14">
        <v>7.2258099199999997</v>
      </c>
      <c r="H14" s="16">
        <v>1.32134653</v>
      </c>
      <c r="I14" s="14">
        <v>14.74040883</v>
      </c>
      <c r="J14" s="16">
        <v>1.9666001</v>
      </c>
      <c r="K14" s="14">
        <v>58.083538519999998</v>
      </c>
      <c r="L14" s="16">
        <v>2.4703148000000001</v>
      </c>
      <c r="M14" s="14" t="s">
        <v>139</v>
      </c>
      <c r="N14" s="16" t="s">
        <v>139</v>
      </c>
      <c r="O14" s="14">
        <v>0</v>
      </c>
      <c r="P14" s="16">
        <v>0</v>
      </c>
      <c r="Q14" s="14">
        <v>0</v>
      </c>
      <c r="R14" s="16">
        <v>0</v>
      </c>
      <c r="S14" s="14">
        <v>0</v>
      </c>
      <c r="T14" s="16">
        <v>0</v>
      </c>
      <c r="U14" s="14">
        <v>0</v>
      </c>
      <c r="V14" s="16">
        <v>0</v>
      </c>
    </row>
    <row r="15" spans="1:22" x14ac:dyDescent="0.25">
      <c r="A15" s="11" t="s">
        <v>147</v>
      </c>
      <c r="B15" s="13">
        <v>2863</v>
      </c>
      <c r="C15" s="14">
        <f>(2371/B15*100)</f>
        <v>82.81522878099895</v>
      </c>
      <c r="D15" s="15">
        <v>492</v>
      </c>
      <c r="E15" s="14">
        <v>21.867330290000002</v>
      </c>
      <c r="F15" s="16">
        <v>1.62521377</v>
      </c>
      <c r="G15" s="14">
        <v>6.09406436</v>
      </c>
      <c r="H15" s="16">
        <v>1.24042893</v>
      </c>
      <c r="I15" s="14">
        <v>17.410289349999999</v>
      </c>
      <c r="J15" s="16">
        <v>1.71294564</v>
      </c>
      <c r="K15" s="14">
        <v>54.628315999999998</v>
      </c>
      <c r="L15" s="16">
        <v>2.5216849699999999</v>
      </c>
      <c r="M15" s="14" t="s">
        <v>139</v>
      </c>
      <c r="N15" s="16" t="s">
        <v>139</v>
      </c>
      <c r="O15" s="14">
        <v>0</v>
      </c>
      <c r="P15" s="16">
        <v>0</v>
      </c>
      <c r="Q15" s="14">
        <v>0</v>
      </c>
      <c r="R15" s="16">
        <v>0</v>
      </c>
      <c r="S15" s="14">
        <v>0</v>
      </c>
      <c r="T15" s="16">
        <v>0</v>
      </c>
      <c r="U15" s="14">
        <v>0</v>
      </c>
      <c r="V15" s="16">
        <v>0</v>
      </c>
    </row>
    <row r="16" spans="1:22" x14ac:dyDescent="0.25">
      <c r="A16" s="11" t="s">
        <v>148</v>
      </c>
      <c r="B16" s="13">
        <v>3111</v>
      </c>
      <c r="C16" s="14">
        <f>(2564/B16*100)</f>
        <v>82.417229186756671</v>
      </c>
      <c r="D16" s="15">
        <v>547</v>
      </c>
      <c r="E16" s="14">
        <v>30.796253620000002</v>
      </c>
      <c r="F16" s="16">
        <v>2.2632926800000002</v>
      </c>
      <c r="G16" s="14">
        <v>8.4119200299999992</v>
      </c>
      <c r="H16" s="16">
        <v>1.2832596199999999</v>
      </c>
      <c r="I16" s="14">
        <v>19.430448330000001</v>
      </c>
      <c r="J16" s="16">
        <v>1.9784302899999999</v>
      </c>
      <c r="K16" s="14">
        <v>41.361378019999997</v>
      </c>
      <c r="L16" s="16">
        <v>2.3632282600000001</v>
      </c>
      <c r="M16" s="14" t="s">
        <v>139</v>
      </c>
      <c r="N16" s="16" t="s">
        <v>139</v>
      </c>
      <c r="O16" s="14">
        <v>0</v>
      </c>
      <c r="P16" s="16">
        <v>0</v>
      </c>
      <c r="Q16" s="14">
        <v>0</v>
      </c>
      <c r="R16" s="16">
        <v>0</v>
      </c>
      <c r="S16" s="14">
        <v>0</v>
      </c>
      <c r="T16" s="16">
        <v>0</v>
      </c>
      <c r="U16" s="14">
        <v>0</v>
      </c>
      <c r="V16" s="16">
        <v>0</v>
      </c>
    </row>
    <row r="17" spans="1:22" x14ac:dyDescent="0.25">
      <c r="A17" s="11" t="s">
        <v>149</v>
      </c>
      <c r="B17" s="13">
        <v>3197</v>
      </c>
      <c r="C17" s="14">
        <f>(2645/B17*100)</f>
        <v>82.733812949640281</v>
      </c>
      <c r="D17" s="15">
        <v>552</v>
      </c>
      <c r="E17" s="14">
        <v>22.394651369999998</v>
      </c>
      <c r="F17" s="16">
        <v>1.6135357100000001</v>
      </c>
      <c r="G17" s="14">
        <v>8.0384262100000008</v>
      </c>
      <c r="H17" s="16">
        <v>1.13600919</v>
      </c>
      <c r="I17" s="14">
        <v>14.25864522</v>
      </c>
      <c r="J17" s="16">
        <v>1.35719353</v>
      </c>
      <c r="K17" s="14">
        <v>55.308277199999999</v>
      </c>
      <c r="L17" s="16">
        <v>2.13558081</v>
      </c>
      <c r="M17" s="14" t="s">
        <v>139</v>
      </c>
      <c r="N17" s="16" t="s">
        <v>139</v>
      </c>
      <c r="O17" s="14">
        <v>0</v>
      </c>
      <c r="P17" s="16">
        <v>0</v>
      </c>
      <c r="Q17" s="14">
        <v>0</v>
      </c>
      <c r="R17" s="16">
        <v>0</v>
      </c>
      <c r="S17" s="14">
        <v>0</v>
      </c>
      <c r="T17" s="16">
        <v>0</v>
      </c>
      <c r="U17" s="14">
        <v>0</v>
      </c>
      <c r="V17" s="16">
        <v>0</v>
      </c>
    </row>
    <row r="18" spans="1:22" x14ac:dyDescent="0.25">
      <c r="A18" s="11" t="s">
        <v>150</v>
      </c>
      <c r="B18" s="13">
        <v>2706</v>
      </c>
      <c r="C18" s="14">
        <f>(2280/B18*100)</f>
        <v>84.257206208425714</v>
      </c>
      <c r="D18" s="15">
        <v>426</v>
      </c>
      <c r="E18" s="14">
        <v>43.486130189999997</v>
      </c>
      <c r="F18" s="16">
        <v>2.3612240199999999</v>
      </c>
      <c r="G18" s="14">
        <v>9.87432774</v>
      </c>
      <c r="H18" s="16">
        <v>1.52614205</v>
      </c>
      <c r="I18" s="14">
        <v>15.212395750000001</v>
      </c>
      <c r="J18" s="16">
        <v>1.74810781</v>
      </c>
      <c r="K18" s="14">
        <v>31.427146319999999</v>
      </c>
      <c r="L18" s="16">
        <v>2.2928716499999999</v>
      </c>
      <c r="M18" s="14" t="s">
        <v>139</v>
      </c>
      <c r="N18" s="16" t="s">
        <v>139</v>
      </c>
      <c r="O18" s="14">
        <v>0</v>
      </c>
      <c r="P18" s="16">
        <v>0</v>
      </c>
      <c r="Q18" s="14">
        <v>0</v>
      </c>
      <c r="R18" s="16">
        <v>0</v>
      </c>
      <c r="S18" s="14">
        <v>0</v>
      </c>
      <c r="T18" s="16">
        <v>0</v>
      </c>
      <c r="U18" s="14">
        <v>0</v>
      </c>
      <c r="V18" s="16">
        <v>0</v>
      </c>
    </row>
    <row r="19" spans="1:22" x14ac:dyDescent="0.25">
      <c r="A19" s="11" t="s">
        <v>151</v>
      </c>
      <c r="B19" s="13">
        <v>2850</v>
      </c>
      <c r="C19" s="14">
        <f>(2364/B19*100)</f>
        <v>82.94736842105263</v>
      </c>
      <c r="D19" s="15">
        <v>486</v>
      </c>
      <c r="E19" s="14">
        <v>37.988387090000003</v>
      </c>
      <c r="F19" s="16">
        <v>2.4445173499999999</v>
      </c>
      <c r="G19" s="14">
        <v>8.8304315599999992</v>
      </c>
      <c r="H19" s="16">
        <v>1.35488729</v>
      </c>
      <c r="I19" s="14">
        <v>19.522393109999999</v>
      </c>
      <c r="J19" s="16">
        <v>1.91171859</v>
      </c>
      <c r="K19" s="14">
        <v>33.658788229999999</v>
      </c>
      <c r="L19" s="16">
        <v>2.4665591600000001</v>
      </c>
      <c r="M19" s="14" t="s">
        <v>139</v>
      </c>
      <c r="N19" s="16" t="s">
        <v>139</v>
      </c>
      <c r="O19" s="14">
        <v>0</v>
      </c>
      <c r="P19" s="16">
        <v>0</v>
      </c>
      <c r="Q19" s="14">
        <v>0</v>
      </c>
      <c r="R19" s="16">
        <v>0</v>
      </c>
      <c r="S19" s="14">
        <v>0</v>
      </c>
      <c r="T19" s="16">
        <v>0</v>
      </c>
      <c r="U19" s="14">
        <v>0</v>
      </c>
      <c r="V19" s="16">
        <v>0</v>
      </c>
    </row>
    <row r="20" spans="1:22" x14ac:dyDescent="0.25">
      <c r="A20" s="11" t="s">
        <v>152</v>
      </c>
      <c r="B20" s="13">
        <v>1741</v>
      </c>
      <c r="C20" s="14">
        <f>(1456/B20*100)</f>
        <v>83.630097645031583</v>
      </c>
      <c r="D20" s="15">
        <v>285</v>
      </c>
      <c r="E20" s="14">
        <v>28.531974129999998</v>
      </c>
      <c r="F20" s="16">
        <v>2.7768270899999998</v>
      </c>
      <c r="G20" s="14">
        <v>7.6755756399999999</v>
      </c>
      <c r="H20" s="16">
        <v>1.38551756</v>
      </c>
      <c r="I20" s="14">
        <v>13.80450411</v>
      </c>
      <c r="J20" s="16">
        <v>1.92153358</v>
      </c>
      <c r="K20" s="14">
        <v>49.987946119999997</v>
      </c>
      <c r="L20" s="16">
        <v>2.83230681</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3667</v>
      </c>
      <c r="C22" s="14">
        <f>(3117/B22*100)</f>
        <v>85.001363512407963</v>
      </c>
      <c r="D22" s="15">
        <v>550</v>
      </c>
      <c r="E22" s="14">
        <v>40.620079150000002</v>
      </c>
      <c r="F22" s="16">
        <v>2.1247870299999998</v>
      </c>
      <c r="G22" s="14">
        <v>13.84654007</v>
      </c>
      <c r="H22" s="16">
        <v>1.4287174</v>
      </c>
      <c r="I22" s="14">
        <v>12.29791399</v>
      </c>
      <c r="J22" s="16">
        <v>1.4026295600000001</v>
      </c>
      <c r="K22" s="14">
        <v>33.235466789999997</v>
      </c>
      <c r="L22" s="16">
        <v>1.98749376</v>
      </c>
      <c r="M22" s="14" t="s">
        <v>139</v>
      </c>
      <c r="N22" s="16" t="s">
        <v>139</v>
      </c>
      <c r="O22" s="14">
        <v>0</v>
      </c>
      <c r="P22" s="16">
        <v>0</v>
      </c>
      <c r="Q22" s="14">
        <v>0</v>
      </c>
      <c r="R22" s="16">
        <v>0</v>
      </c>
      <c r="S22" s="14">
        <v>0</v>
      </c>
      <c r="T22" s="16">
        <v>0</v>
      </c>
      <c r="U22" s="14">
        <v>0</v>
      </c>
      <c r="V22" s="16">
        <v>0</v>
      </c>
    </row>
    <row r="23" spans="1:22" x14ac:dyDescent="0.25">
      <c r="A23" s="11" t="s">
        <v>156</v>
      </c>
      <c r="B23" s="13">
        <v>5792</v>
      </c>
      <c r="C23" s="14">
        <f>(4807/B23*100)</f>
        <v>82.993784530386733</v>
      </c>
      <c r="D23" s="15">
        <v>985</v>
      </c>
      <c r="E23" s="14">
        <v>27.54978955</v>
      </c>
      <c r="F23" s="16">
        <v>2.37431225</v>
      </c>
      <c r="G23" s="14">
        <v>5.00443718</v>
      </c>
      <c r="H23" s="16">
        <v>0.93699772000000003</v>
      </c>
      <c r="I23" s="14">
        <v>16.644750349999999</v>
      </c>
      <c r="J23" s="16">
        <v>1.97764476</v>
      </c>
      <c r="K23" s="14">
        <v>50.801022920000001</v>
      </c>
      <c r="L23" s="16">
        <v>2.1708076599999999</v>
      </c>
      <c r="M23" s="14" t="s">
        <v>139</v>
      </c>
      <c r="N23" s="16" t="s">
        <v>139</v>
      </c>
      <c r="O23" s="14">
        <v>0</v>
      </c>
      <c r="P23" s="16">
        <v>0</v>
      </c>
      <c r="Q23" s="14">
        <v>0</v>
      </c>
      <c r="R23" s="16">
        <v>0</v>
      </c>
      <c r="S23" s="14">
        <v>0</v>
      </c>
      <c r="T23" s="16">
        <v>0</v>
      </c>
      <c r="U23" s="14">
        <v>0</v>
      </c>
      <c r="V23" s="16">
        <v>0</v>
      </c>
    </row>
    <row r="24" spans="1:22" x14ac:dyDescent="0.25">
      <c r="A24" s="11" t="s">
        <v>157</v>
      </c>
      <c r="B24" s="13">
        <v>3309</v>
      </c>
      <c r="C24" s="14">
        <f>(2714/B24*100)</f>
        <v>82.018736778482932</v>
      </c>
      <c r="D24" s="15">
        <v>595</v>
      </c>
      <c r="E24" s="14">
        <v>18.37137319</v>
      </c>
      <c r="F24" s="16">
        <v>1.7034772499999999</v>
      </c>
      <c r="G24" s="14">
        <v>7.6713478500000001</v>
      </c>
      <c r="H24" s="16">
        <v>1.2397743400000001</v>
      </c>
      <c r="I24" s="14">
        <v>10.84469794</v>
      </c>
      <c r="J24" s="16">
        <v>1.4135156200000001</v>
      </c>
      <c r="K24" s="14">
        <v>63.11258102</v>
      </c>
      <c r="L24" s="16">
        <v>2.2157719999999999</v>
      </c>
      <c r="M24" s="14" t="s">
        <v>139</v>
      </c>
      <c r="N24" s="16" t="s">
        <v>139</v>
      </c>
      <c r="O24" s="14">
        <v>0</v>
      </c>
      <c r="P24" s="16">
        <v>0</v>
      </c>
      <c r="Q24" s="14">
        <v>0</v>
      </c>
      <c r="R24" s="16">
        <v>0</v>
      </c>
      <c r="S24" s="14">
        <v>0</v>
      </c>
      <c r="T24" s="16">
        <v>0</v>
      </c>
      <c r="U24" s="14">
        <v>0</v>
      </c>
      <c r="V24" s="16">
        <v>0</v>
      </c>
    </row>
    <row r="25" spans="1:22" x14ac:dyDescent="0.25">
      <c r="A25" s="11" t="s">
        <v>158</v>
      </c>
      <c r="B25" s="13">
        <v>2669</v>
      </c>
      <c r="C25" s="14">
        <f>(2200/B25*100)</f>
        <v>82.427875608842257</v>
      </c>
      <c r="D25" s="15">
        <v>469</v>
      </c>
      <c r="E25" s="14">
        <v>27.42858601</v>
      </c>
      <c r="F25" s="16">
        <v>2.1391452700000002</v>
      </c>
      <c r="G25" s="14">
        <v>10.82910554</v>
      </c>
      <c r="H25" s="16">
        <v>1.21430343</v>
      </c>
      <c r="I25" s="14">
        <v>14.90168164</v>
      </c>
      <c r="J25" s="16">
        <v>1.85822537</v>
      </c>
      <c r="K25" s="14">
        <v>46.840626810000003</v>
      </c>
      <c r="L25" s="16">
        <v>1.8728529199999999</v>
      </c>
      <c r="M25" s="14" t="s">
        <v>139</v>
      </c>
      <c r="N25" s="16" t="s">
        <v>139</v>
      </c>
      <c r="O25" s="14">
        <v>0</v>
      </c>
      <c r="P25" s="16">
        <v>0</v>
      </c>
      <c r="Q25" s="14">
        <v>0</v>
      </c>
      <c r="R25" s="16">
        <v>0</v>
      </c>
      <c r="S25" s="14">
        <v>0</v>
      </c>
      <c r="T25" s="16">
        <v>0</v>
      </c>
      <c r="U25" s="14">
        <v>0</v>
      </c>
      <c r="V25" s="16">
        <v>0</v>
      </c>
    </row>
    <row r="26" spans="1:22" x14ac:dyDescent="0.25">
      <c r="A26" s="11" t="s">
        <v>159</v>
      </c>
      <c r="B26" s="13">
        <v>2419</v>
      </c>
      <c r="C26" s="14">
        <f>(2000/B26*100)</f>
        <v>82.678792889623807</v>
      </c>
      <c r="D26" s="15">
        <v>419</v>
      </c>
      <c r="E26" s="14">
        <v>29.434480279999999</v>
      </c>
      <c r="F26" s="16">
        <v>2.2154929700000001</v>
      </c>
      <c r="G26" s="14">
        <v>7.36019881</v>
      </c>
      <c r="H26" s="16">
        <v>1.3774922199999999</v>
      </c>
      <c r="I26" s="14">
        <v>17.011099089999998</v>
      </c>
      <c r="J26" s="16">
        <v>1.81070851</v>
      </c>
      <c r="K26" s="14">
        <v>46.194221829999996</v>
      </c>
      <c r="L26" s="16">
        <v>2.3863012299999999</v>
      </c>
      <c r="M26" s="14" t="s">
        <v>139</v>
      </c>
      <c r="N26" s="16" t="s">
        <v>139</v>
      </c>
      <c r="O26" s="14">
        <v>0</v>
      </c>
      <c r="P26" s="16">
        <v>0</v>
      </c>
      <c r="Q26" s="14">
        <v>0</v>
      </c>
      <c r="R26" s="16">
        <v>0</v>
      </c>
      <c r="S26" s="14">
        <v>0</v>
      </c>
      <c r="T26" s="16">
        <v>0</v>
      </c>
      <c r="U26" s="14">
        <v>0</v>
      </c>
      <c r="V26" s="16">
        <v>0</v>
      </c>
    </row>
    <row r="27" spans="1:22" x14ac:dyDescent="0.25">
      <c r="A27" s="11" t="s">
        <v>160</v>
      </c>
      <c r="B27" s="13">
        <v>2683</v>
      </c>
      <c r="C27" s="14">
        <f>(2228/B27*100)</f>
        <v>83.041371598956388</v>
      </c>
      <c r="D27" s="15">
        <v>455</v>
      </c>
      <c r="E27" s="14">
        <v>25.518754380000001</v>
      </c>
      <c r="F27" s="16">
        <v>1.94219845</v>
      </c>
      <c r="G27" s="14">
        <v>8.4610786200000003</v>
      </c>
      <c r="H27" s="16">
        <v>1.22294927</v>
      </c>
      <c r="I27" s="14">
        <v>15.55399989</v>
      </c>
      <c r="J27" s="16">
        <v>1.81299689</v>
      </c>
      <c r="K27" s="14">
        <v>50.466167110000001</v>
      </c>
      <c r="L27" s="16">
        <v>2.12646589</v>
      </c>
      <c r="M27" s="14" t="s">
        <v>139</v>
      </c>
      <c r="N27" s="16" t="s">
        <v>139</v>
      </c>
      <c r="O27" s="14">
        <v>0</v>
      </c>
      <c r="P27" s="16">
        <v>0</v>
      </c>
      <c r="Q27" s="14">
        <v>0</v>
      </c>
      <c r="R27" s="16">
        <v>0</v>
      </c>
      <c r="S27" s="14">
        <v>0</v>
      </c>
      <c r="T27" s="16">
        <v>0</v>
      </c>
      <c r="U27" s="14">
        <v>0</v>
      </c>
      <c r="V27" s="16">
        <v>0</v>
      </c>
    </row>
    <row r="28" spans="1:22" x14ac:dyDescent="0.25">
      <c r="A28" s="11" t="s">
        <v>161</v>
      </c>
      <c r="B28" s="13">
        <v>3803</v>
      </c>
      <c r="C28" s="14">
        <f>(3164/B28*100)</f>
        <v>83.197475677097032</v>
      </c>
      <c r="D28" s="15">
        <v>639</v>
      </c>
      <c r="E28" s="14">
        <v>60.547143220000002</v>
      </c>
      <c r="F28" s="16">
        <v>2.4426283199999999</v>
      </c>
      <c r="G28" s="14">
        <v>11.68617461</v>
      </c>
      <c r="H28" s="16">
        <v>1.2861700599999999</v>
      </c>
      <c r="I28" s="14">
        <v>11.66538108</v>
      </c>
      <c r="J28" s="16">
        <v>1.54132783</v>
      </c>
      <c r="K28" s="14">
        <v>16.10130109</v>
      </c>
      <c r="L28" s="16">
        <v>1.8405574499999999</v>
      </c>
      <c r="M28" s="14" t="s">
        <v>139</v>
      </c>
      <c r="N28" s="16" t="s">
        <v>139</v>
      </c>
      <c r="O28" s="14">
        <v>0</v>
      </c>
      <c r="P28" s="16">
        <v>0</v>
      </c>
      <c r="Q28" s="14">
        <v>0</v>
      </c>
      <c r="R28" s="16">
        <v>0</v>
      </c>
      <c r="S28" s="14">
        <v>0</v>
      </c>
      <c r="T28" s="16">
        <v>0</v>
      </c>
      <c r="U28" s="14">
        <v>0</v>
      </c>
      <c r="V28" s="16">
        <v>0</v>
      </c>
    </row>
    <row r="29" spans="1:22" x14ac:dyDescent="0.25">
      <c r="A29" s="11" t="s">
        <v>162</v>
      </c>
      <c r="B29" s="13">
        <v>2700</v>
      </c>
      <c r="C29" s="14">
        <f>(2241/B29*100)</f>
        <v>83</v>
      </c>
      <c r="D29" s="15">
        <v>459</v>
      </c>
      <c r="E29" s="14">
        <v>22.407244810000002</v>
      </c>
      <c r="F29" s="16">
        <v>1.9749288700000001</v>
      </c>
      <c r="G29" s="14">
        <v>11.181405850000001</v>
      </c>
      <c r="H29" s="16">
        <v>1.59667855</v>
      </c>
      <c r="I29" s="14">
        <v>20.10431298</v>
      </c>
      <c r="J29" s="16">
        <v>2.0825543</v>
      </c>
      <c r="K29" s="14">
        <v>46.307036369999999</v>
      </c>
      <c r="L29" s="16">
        <v>2.7610333100000002</v>
      </c>
      <c r="M29" s="14" t="s">
        <v>139</v>
      </c>
      <c r="N29" s="16" t="s">
        <v>139</v>
      </c>
      <c r="O29" s="14">
        <v>0</v>
      </c>
      <c r="P29" s="16">
        <v>0</v>
      </c>
      <c r="Q29" s="14">
        <v>0</v>
      </c>
      <c r="R29" s="16">
        <v>0</v>
      </c>
      <c r="S29" s="14">
        <v>0</v>
      </c>
      <c r="T29" s="16">
        <v>0</v>
      </c>
      <c r="U29" s="14">
        <v>0</v>
      </c>
      <c r="V29" s="16">
        <v>0</v>
      </c>
    </row>
    <row r="30" spans="1:22" x14ac:dyDescent="0.25">
      <c r="A30" s="11" t="s">
        <v>163</v>
      </c>
      <c r="B30" s="13">
        <v>2257</v>
      </c>
      <c r="C30" s="14">
        <f>(1879/B30*100)</f>
        <v>83.252104563579977</v>
      </c>
      <c r="D30" s="15">
        <v>378</v>
      </c>
      <c r="E30" s="14">
        <v>21.226173459999998</v>
      </c>
      <c r="F30" s="16">
        <v>2.5123016900000001</v>
      </c>
      <c r="G30" s="14">
        <v>9.6823253499999993</v>
      </c>
      <c r="H30" s="16">
        <v>1.6772165800000001</v>
      </c>
      <c r="I30" s="14">
        <v>15.43661797</v>
      </c>
      <c r="J30" s="16">
        <v>2.0128404899999999</v>
      </c>
      <c r="K30" s="14">
        <v>53.654883220000002</v>
      </c>
      <c r="L30" s="16">
        <v>3.14836457</v>
      </c>
      <c r="M30" s="14" t="s">
        <v>139</v>
      </c>
      <c r="N30" s="16" t="s">
        <v>139</v>
      </c>
      <c r="O30" s="14">
        <v>0</v>
      </c>
      <c r="P30" s="16">
        <v>0</v>
      </c>
      <c r="Q30" s="14">
        <v>0</v>
      </c>
      <c r="R30" s="16">
        <v>0</v>
      </c>
      <c r="S30" s="14">
        <v>0</v>
      </c>
      <c r="T30" s="16">
        <v>0</v>
      </c>
      <c r="U30" s="14">
        <v>0</v>
      </c>
      <c r="V30" s="16">
        <v>0</v>
      </c>
    </row>
    <row r="31" spans="1:22" x14ac:dyDescent="0.25">
      <c r="A31" s="11" t="s">
        <v>164</v>
      </c>
      <c r="B31" s="13">
        <v>2706</v>
      </c>
      <c r="C31" s="14">
        <f>(2223/B31*100)</f>
        <v>82.150776053215083</v>
      </c>
      <c r="D31" s="15">
        <v>483</v>
      </c>
      <c r="E31" s="14">
        <v>26.066448179999998</v>
      </c>
      <c r="F31" s="16">
        <v>2.25372547</v>
      </c>
      <c r="G31" s="14">
        <v>10.394201300000001</v>
      </c>
      <c r="H31" s="16">
        <v>1.38708253</v>
      </c>
      <c r="I31" s="14">
        <v>18.516017470000001</v>
      </c>
      <c r="J31" s="16">
        <v>1.90852479</v>
      </c>
      <c r="K31" s="14">
        <v>45.023333049999998</v>
      </c>
      <c r="L31" s="16">
        <v>2.2593761799999998</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3651</v>
      </c>
      <c r="C33" s="14">
        <f>(3020/B33*100)</f>
        <v>82.717063818132019</v>
      </c>
      <c r="D33" s="15">
        <v>631</v>
      </c>
      <c r="E33" s="14">
        <v>29.11340465</v>
      </c>
      <c r="F33" s="16">
        <v>2.1810370300000002</v>
      </c>
      <c r="G33" s="14">
        <v>8.3681283999999998</v>
      </c>
      <c r="H33" s="16">
        <v>1.3933311399999999</v>
      </c>
      <c r="I33" s="14">
        <v>14.441909109999999</v>
      </c>
      <c r="J33" s="16">
        <v>1.7282582099999999</v>
      </c>
      <c r="K33" s="14">
        <v>48.076557829999999</v>
      </c>
      <c r="L33" s="16">
        <v>2.20565978</v>
      </c>
      <c r="M33" s="14" t="s">
        <v>139</v>
      </c>
      <c r="N33" s="16" t="s">
        <v>139</v>
      </c>
      <c r="O33" s="14">
        <v>0</v>
      </c>
      <c r="P33" s="16">
        <v>0</v>
      </c>
      <c r="Q33" s="14">
        <v>0</v>
      </c>
      <c r="R33" s="16">
        <v>0</v>
      </c>
      <c r="S33" s="14">
        <v>0</v>
      </c>
      <c r="T33" s="16">
        <v>0</v>
      </c>
      <c r="U33" s="14">
        <v>0</v>
      </c>
      <c r="V33" s="16">
        <v>0</v>
      </c>
    </row>
    <row r="34" spans="1:22" x14ac:dyDescent="0.25">
      <c r="A34" s="11" t="s">
        <v>167</v>
      </c>
      <c r="B34" s="13">
        <v>3035</v>
      </c>
      <c r="C34" s="14">
        <f>(2555/B34*100)</f>
        <v>84.184514003294893</v>
      </c>
      <c r="D34" s="15">
        <v>480</v>
      </c>
      <c r="E34" s="14">
        <v>30.914728709999999</v>
      </c>
      <c r="F34" s="16">
        <v>2.06494446</v>
      </c>
      <c r="G34" s="14">
        <v>10.58396063</v>
      </c>
      <c r="H34" s="16">
        <v>1.51526286</v>
      </c>
      <c r="I34" s="14">
        <v>19.434612789999999</v>
      </c>
      <c r="J34" s="16">
        <v>1.7614170899999999</v>
      </c>
      <c r="K34" s="14">
        <v>39.066697869999999</v>
      </c>
      <c r="L34" s="16">
        <v>2.3762405700000002</v>
      </c>
      <c r="M34" s="14" t="s">
        <v>139</v>
      </c>
      <c r="N34" s="16" t="s">
        <v>139</v>
      </c>
      <c r="O34" s="14">
        <v>0</v>
      </c>
      <c r="P34" s="16">
        <v>0</v>
      </c>
      <c r="Q34" s="14">
        <v>0</v>
      </c>
      <c r="R34" s="16">
        <v>0</v>
      </c>
      <c r="S34" s="14">
        <v>0</v>
      </c>
      <c r="T34" s="16">
        <v>0</v>
      </c>
      <c r="U34" s="14">
        <v>0</v>
      </c>
      <c r="V34" s="16">
        <v>0</v>
      </c>
    </row>
    <row r="35" spans="1:22" x14ac:dyDescent="0.25">
      <c r="A35" s="11" t="s">
        <v>168</v>
      </c>
      <c r="B35" s="13">
        <v>2901</v>
      </c>
      <c r="C35" s="14">
        <f>(2416/B35*100)</f>
        <v>83.281627025163743</v>
      </c>
      <c r="D35" s="15">
        <v>485</v>
      </c>
      <c r="E35" s="14">
        <v>31.302317030000001</v>
      </c>
      <c r="F35" s="16">
        <v>2.7377024900000002</v>
      </c>
      <c r="G35" s="14">
        <v>6.5492077499999999</v>
      </c>
      <c r="H35" s="16">
        <v>1.1331520399999999</v>
      </c>
      <c r="I35" s="14">
        <v>16.276104790000002</v>
      </c>
      <c r="J35" s="16">
        <v>2.2828586400000002</v>
      </c>
      <c r="K35" s="14">
        <v>45.872370429999997</v>
      </c>
      <c r="L35" s="16">
        <v>2.9781875900000001</v>
      </c>
      <c r="M35" s="14" t="s">
        <v>139</v>
      </c>
      <c r="N35" s="16" t="s">
        <v>139</v>
      </c>
      <c r="O35" s="14">
        <v>0</v>
      </c>
      <c r="P35" s="16">
        <v>0</v>
      </c>
      <c r="Q35" s="14">
        <v>0</v>
      </c>
      <c r="R35" s="16">
        <v>0</v>
      </c>
      <c r="S35" s="14">
        <v>0</v>
      </c>
      <c r="T35" s="16">
        <v>0</v>
      </c>
      <c r="U35" s="14">
        <v>0</v>
      </c>
      <c r="V35" s="16">
        <v>0</v>
      </c>
    </row>
    <row r="36" spans="1:22" x14ac:dyDescent="0.25">
      <c r="A36" s="11" t="s">
        <v>169</v>
      </c>
      <c r="B36" s="13">
        <v>3404</v>
      </c>
      <c r="C36" s="14">
        <f>(2815/B36*100)</f>
        <v>82.696827262044664</v>
      </c>
      <c r="D36" s="15">
        <v>589</v>
      </c>
      <c r="E36" s="14">
        <v>30.718391359999998</v>
      </c>
      <c r="F36" s="16">
        <v>1.8137780299999999</v>
      </c>
      <c r="G36" s="14">
        <v>5.0982459699999998</v>
      </c>
      <c r="H36" s="16">
        <v>1.01418776</v>
      </c>
      <c r="I36" s="14">
        <v>13.91696065</v>
      </c>
      <c r="J36" s="16">
        <v>1.27748609</v>
      </c>
      <c r="K36" s="14">
        <v>50.266402020000001</v>
      </c>
      <c r="L36" s="16">
        <v>1.9921008600000001</v>
      </c>
      <c r="M36" s="14" t="s">
        <v>139</v>
      </c>
      <c r="N36" s="16" t="s">
        <v>139</v>
      </c>
      <c r="O36" s="14">
        <v>0</v>
      </c>
      <c r="P36" s="16">
        <v>0</v>
      </c>
      <c r="Q36" s="14">
        <v>0</v>
      </c>
      <c r="R36" s="16">
        <v>0</v>
      </c>
      <c r="S36" s="14">
        <v>0</v>
      </c>
      <c r="T36" s="16">
        <v>0</v>
      </c>
      <c r="U36" s="14">
        <v>0</v>
      </c>
      <c r="V36" s="16">
        <v>0</v>
      </c>
    </row>
    <row r="37" spans="1:22" x14ac:dyDescent="0.25">
      <c r="A37" s="11" t="s">
        <v>170</v>
      </c>
      <c r="B37" s="13">
        <v>2731</v>
      </c>
      <c r="C37" s="14">
        <f>(2277/B37*100)</f>
        <v>83.376052727938486</v>
      </c>
      <c r="D37" s="15">
        <v>454</v>
      </c>
      <c r="E37" s="14">
        <v>20.888064880000002</v>
      </c>
      <c r="F37" s="16">
        <v>1.9349531499999999</v>
      </c>
      <c r="G37" s="14">
        <v>7.7508746999999998</v>
      </c>
      <c r="H37" s="16">
        <v>1.2171658299999999</v>
      </c>
      <c r="I37" s="14">
        <v>17.047982829999999</v>
      </c>
      <c r="J37" s="16">
        <v>1.6461936699999999</v>
      </c>
      <c r="K37" s="14">
        <v>54.313077579999998</v>
      </c>
      <c r="L37" s="16">
        <v>1.96578718</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2938</v>
      </c>
      <c r="C39" s="14">
        <f>(2428/B39*100)</f>
        <v>82.641252552756981</v>
      </c>
      <c r="D39" s="15">
        <v>510</v>
      </c>
      <c r="E39" s="14">
        <v>60.992810290000001</v>
      </c>
      <c r="F39" s="16">
        <v>2.43659063</v>
      </c>
      <c r="G39" s="14">
        <v>16.114900110000001</v>
      </c>
      <c r="H39" s="16">
        <v>1.4401721999999999</v>
      </c>
      <c r="I39" s="14">
        <v>6.4251671100000003</v>
      </c>
      <c r="J39" s="16">
        <v>1.4490567700000001</v>
      </c>
      <c r="K39" s="14">
        <v>16.467122499999999</v>
      </c>
      <c r="L39" s="16">
        <v>1.9121453500000001</v>
      </c>
      <c r="M39" s="14" t="s">
        <v>139</v>
      </c>
      <c r="N39" s="16" t="s">
        <v>139</v>
      </c>
      <c r="O39" s="14">
        <v>0</v>
      </c>
      <c r="P39" s="16">
        <v>0</v>
      </c>
      <c r="Q39" s="14">
        <v>0</v>
      </c>
      <c r="R39" s="16">
        <v>0</v>
      </c>
      <c r="S39" s="14">
        <v>0</v>
      </c>
      <c r="T39" s="16">
        <v>0</v>
      </c>
      <c r="U39" s="14">
        <v>0</v>
      </c>
      <c r="V39" s="16">
        <v>0</v>
      </c>
    </row>
    <row r="40" spans="1:22" x14ac:dyDescent="0.25">
      <c r="A40" s="11" t="s">
        <v>173</v>
      </c>
      <c r="B40" s="13">
        <v>6922</v>
      </c>
      <c r="C40" s="14">
        <f>(5712/B40*100)</f>
        <v>82.519503033805265</v>
      </c>
      <c r="D40" s="15">
        <v>1210</v>
      </c>
      <c r="E40" s="14">
        <v>26.514941279999999</v>
      </c>
      <c r="F40" s="16">
        <v>1.9513128799999999</v>
      </c>
      <c r="G40" s="14">
        <v>7.7396270200000004</v>
      </c>
      <c r="H40" s="16">
        <v>1.1237159299999999</v>
      </c>
      <c r="I40" s="14">
        <v>13.258116810000001</v>
      </c>
      <c r="J40" s="16">
        <v>1.35329904</v>
      </c>
      <c r="K40" s="14">
        <v>52.48731489</v>
      </c>
      <c r="L40" s="16">
        <v>2.2289248800000001</v>
      </c>
      <c r="M40" s="14" t="s">
        <v>139</v>
      </c>
      <c r="N40" s="16" t="s">
        <v>139</v>
      </c>
      <c r="O40" s="14">
        <v>0</v>
      </c>
      <c r="P40" s="16">
        <v>0</v>
      </c>
      <c r="Q40" s="14">
        <v>0</v>
      </c>
      <c r="R40" s="16">
        <v>0</v>
      </c>
      <c r="S40" s="14">
        <v>0</v>
      </c>
      <c r="T40" s="16">
        <v>0</v>
      </c>
      <c r="U40" s="14">
        <v>0</v>
      </c>
      <c r="V40" s="16">
        <v>0</v>
      </c>
    </row>
    <row r="41" spans="1:22" x14ac:dyDescent="0.25">
      <c r="A41" s="11" t="s">
        <v>174</v>
      </c>
      <c r="B41" s="13">
        <v>2854</v>
      </c>
      <c r="C41" s="14">
        <f>(2386/B41*100)</f>
        <v>83.601962158374207</v>
      </c>
      <c r="D41" s="15">
        <v>468</v>
      </c>
      <c r="E41" s="14">
        <v>29.339900629999999</v>
      </c>
      <c r="F41" s="16">
        <v>2.0664136399999999</v>
      </c>
      <c r="G41" s="14">
        <v>9.6155082400000005</v>
      </c>
      <c r="H41" s="16">
        <v>1.39087162</v>
      </c>
      <c r="I41" s="14">
        <v>12.82706419</v>
      </c>
      <c r="J41" s="16">
        <v>1.7729723799999999</v>
      </c>
      <c r="K41" s="14">
        <v>48.217526939999999</v>
      </c>
      <c r="L41" s="16">
        <v>2.55157773</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3612.53125</v>
      </c>
      <c r="C42" s="14">
        <f>IF(COUNT(C7:C41) &gt; 0, AVERAGE(C7:C41), "—")</f>
        <v>83.081142635323488</v>
      </c>
      <c r="D42" s="15">
        <f>IF(COUNT(D7:D41) &gt; 0, AVERAGE(D7:D41), "—")</f>
        <v>611.875</v>
      </c>
      <c r="E42" s="14">
        <f>IF(COUNT(E7:E41) &gt; 0, AVERAGE(E7:E41), "—")</f>
        <v>29.620051374374992</v>
      </c>
      <c r="F42" s="16">
        <f>IF(COUNT(F7:F41) &gt; 0, SQRT(SUMSQ(F7:F41)/(COUNT(F7:F41)*COUNT(F7:F41)) ), "—")</f>
        <v>0.37757038055656961</v>
      </c>
      <c r="G42" s="14">
        <f>IF(COUNT(G7:G41) &gt; 0, AVERAGE(G7:G41), "—")</f>
        <v>9.0103989218749998</v>
      </c>
      <c r="H42" s="16">
        <f>IF(COUNT(H7:H41) &gt; 0, SQRT(SUMSQ(H7:H41)/(COUNT(H7:H41)*COUNT(H7:H41)) ), "—")</f>
        <v>0.23381259594294426</v>
      </c>
      <c r="I42" s="14">
        <f>IF(COUNT(I7:I41) &gt; 0, AVERAGE(I7:I41), "—")</f>
        <v>14.986214151250001</v>
      </c>
      <c r="J42" s="16">
        <f>IF(COUNT(J7:J41) &gt; 0, SQRT(SUMSQ(J7:J41)/(COUNT(J7:J41)*COUNT(J7:J41)) ), "—")</f>
        <v>0.30262084473517764</v>
      </c>
      <c r="K42" s="14">
        <f>IF(COUNT(K7:K41) &gt; 0, AVERAGE(K7:K41), "—")</f>
        <v>46.383335552500007</v>
      </c>
      <c r="L42" s="16">
        <f>IF(COUNT(L7:L41) &gt; 0, SQRT(SUMSQ(L7:L41)/(COUNT(L7:L41)*COUNT(L7:L41)) ), "—")</f>
        <v>0.402842116904428</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12073</v>
      </c>
      <c r="C46" s="14">
        <f>(10298/B46*100)</f>
        <v>85.297771887683254</v>
      </c>
      <c r="D46" s="15">
        <v>1775</v>
      </c>
      <c r="E46" s="14">
        <v>60.225183049999998</v>
      </c>
      <c r="F46" s="16">
        <v>1.84656445</v>
      </c>
      <c r="G46" s="14">
        <v>9.9326731600000002</v>
      </c>
      <c r="H46" s="16">
        <v>0.95499392000000005</v>
      </c>
      <c r="I46" s="14">
        <v>9.1358341500000009</v>
      </c>
      <c r="J46" s="16">
        <v>0.82023356000000003</v>
      </c>
      <c r="K46" s="14">
        <v>20.706309640000001</v>
      </c>
      <c r="L46" s="16">
        <v>1.4134266</v>
      </c>
      <c r="M46" s="14" t="s">
        <v>139</v>
      </c>
      <c r="N46" s="16" t="s">
        <v>139</v>
      </c>
      <c r="O46" s="14">
        <v>0</v>
      </c>
      <c r="P46" s="16">
        <v>0</v>
      </c>
      <c r="Q46" s="14">
        <v>0</v>
      </c>
      <c r="R46" s="16">
        <v>0</v>
      </c>
      <c r="S46" s="14">
        <v>0</v>
      </c>
      <c r="T46" s="16">
        <v>0</v>
      </c>
      <c r="U46" s="14">
        <v>0</v>
      </c>
      <c r="V46" s="16">
        <v>0</v>
      </c>
    </row>
    <row r="47" spans="1:22" x14ac:dyDescent="0.25">
      <c r="A47" s="11" t="s">
        <v>180</v>
      </c>
      <c r="B47" s="13">
        <v>2823</v>
      </c>
      <c r="C47" s="14">
        <f>(2337/B47*100)</f>
        <v>82.784272051009566</v>
      </c>
      <c r="D47" s="15">
        <v>486</v>
      </c>
      <c r="E47" s="14">
        <v>47.413689939999998</v>
      </c>
      <c r="F47" s="16">
        <v>2.5100012</v>
      </c>
      <c r="G47" s="14">
        <v>10.926756409999999</v>
      </c>
      <c r="H47" s="16">
        <v>1.5630500700000001</v>
      </c>
      <c r="I47" s="14">
        <v>9.7773594199999998</v>
      </c>
      <c r="J47" s="16">
        <v>1.35182691</v>
      </c>
      <c r="K47" s="14">
        <v>31.88219423</v>
      </c>
      <c r="L47" s="16">
        <v>2.3906675900000001</v>
      </c>
      <c r="M47" s="14" t="s">
        <v>139</v>
      </c>
      <c r="N47" s="16" t="s">
        <v>139</v>
      </c>
      <c r="O47" s="14">
        <v>0</v>
      </c>
      <c r="P47" s="16">
        <v>0</v>
      </c>
      <c r="Q47" s="14">
        <v>0</v>
      </c>
      <c r="R47" s="16">
        <v>0</v>
      </c>
      <c r="S47" s="14">
        <v>0</v>
      </c>
      <c r="T47" s="16">
        <v>0</v>
      </c>
      <c r="U47" s="14">
        <v>0</v>
      </c>
      <c r="V47" s="16">
        <v>0</v>
      </c>
    </row>
    <row r="48" spans="1:22" x14ac:dyDescent="0.25">
      <c r="A48" s="11" t="s">
        <v>181</v>
      </c>
      <c r="B48" s="13">
        <v>4682</v>
      </c>
      <c r="C48" s="14">
        <f>(3883/B48*100)</f>
        <v>82.934643314822722</v>
      </c>
      <c r="D48" s="15">
        <v>799</v>
      </c>
      <c r="E48" s="14">
        <v>34.718173190000002</v>
      </c>
      <c r="F48" s="16">
        <v>2.3495773600000001</v>
      </c>
      <c r="G48" s="14">
        <v>11.692896899999999</v>
      </c>
      <c r="H48" s="16">
        <v>1.64421499</v>
      </c>
      <c r="I48" s="14">
        <v>13.55117087</v>
      </c>
      <c r="J48" s="16">
        <v>1.6836003500000001</v>
      </c>
      <c r="K48" s="14">
        <v>40.037759039999997</v>
      </c>
      <c r="L48" s="16">
        <v>2.65691926</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6158</v>
      </c>
      <c r="C50" s="14">
        <f>(5130/B50*100)</f>
        <v>83.306268268918487</v>
      </c>
      <c r="D50" s="15">
        <v>1028</v>
      </c>
      <c r="E50" s="14">
        <v>54.547364000000002</v>
      </c>
      <c r="F50" s="16">
        <v>2.1457999499999998</v>
      </c>
      <c r="G50" s="14">
        <v>14.459017859999999</v>
      </c>
      <c r="H50" s="16">
        <v>1.37947128</v>
      </c>
      <c r="I50" s="14">
        <v>10.423565930000001</v>
      </c>
      <c r="J50" s="16">
        <v>1.1768699499999999</v>
      </c>
      <c r="K50" s="14">
        <v>20.570052199999999</v>
      </c>
      <c r="L50" s="16">
        <v>1.76715855</v>
      </c>
      <c r="M50" s="14" t="s">
        <v>139</v>
      </c>
      <c r="N50" s="16" t="s">
        <v>139</v>
      </c>
      <c r="O50" s="14">
        <v>0</v>
      </c>
      <c r="P50" s="16">
        <v>0</v>
      </c>
      <c r="Q50" s="14">
        <v>0</v>
      </c>
      <c r="R50" s="16">
        <v>0</v>
      </c>
      <c r="S50" s="14">
        <v>0</v>
      </c>
      <c r="T50" s="16">
        <v>0</v>
      </c>
      <c r="U50" s="14">
        <v>0</v>
      </c>
      <c r="V50" s="16">
        <v>0</v>
      </c>
    </row>
    <row r="51" spans="1:22" x14ac:dyDescent="0.25">
      <c r="A51" s="11" t="s">
        <v>184</v>
      </c>
      <c r="B51" s="13">
        <v>3494</v>
      </c>
      <c r="C51" s="14">
        <f>(2962/B51*100)</f>
        <v>84.773898111047501</v>
      </c>
      <c r="D51" s="15">
        <v>532</v>
      </c>
      <c r="E51" s="14">
        <v>51.422427460000002</v>
      </c>
      <c r="F51" s="16">
        <v>2.1480619999999999</v>
      </c>
      <c r="G51" s="14">
        <v>12.236031990000001</v>
      </c>
      <c r="H51" s="16">
        <v>1.5959247400000001</v>
      </c>
      <c r="I51" s="14">
        <v>12.05711906</v>
      </c>
      <c r="J51" s="16">
        <v>1.63426034</v>
      </c>
      <c r="K51" s="14">
        <v>24.28442149</v>
      </c>
      <c r="L51" s="16">
        <v>1.79608108</v>
      </c>
      <c r="M51" s="14" t="s">
        <v>139</v>
      </c>
      <c r="N51" s="16" t="s">
        <v>139</v>
      </c>
      <c r="O51" s="14">
        <v>0</v>
      </c>
      <c r="P51" s="16">
        <v>0</v>
      </c>
      <c r="Q51" s="14">
        <v>0</v>
      </c>
      <c r="R51" s="16">
        <v>0</v>
      </c>
      <c r="S51" s="14">
        <v>0</v>
      </c>
      <c r="T51" s="16">
        <v>0</v>
      </c>
      <c r="U51" s="14">
        <v>0</v>
      </c>
      <c r="V51" s="16">
        <v>0</v>
      </c>
    </row>
    <row r="52" spans="1:22" x14ac:dyDescent="0.25">
      <c r="A52" s="11" t="s">
        <v>185</v>
      </c>
      <c r="B52" s="13">
        <v>3013</v>
      </c>
      <c r="C52" s="14">
        <f>(2482/B52*100)</f>
        <v>82.376369067374711</v>
      </c>
      <c r="D52" s="15">
        <v>531</v>
      </c>
      <c r="E52" s="14">
        <v>54.243614549999997</v>
      </c>
      <c r="F52" s="16">
        <v>2.4697482700000002</v>
      </c>
      <c r="G52" s="14">
        <v>5.9985705600000001</v>
      </c>
      <c r="H52" s="16">
        <v>0.99489494000000001</v>
      </c>
      <c r="I52" s="14">
        <v>7.9102124800000002</v>
      </c>
      <c r="J52" s="16">
        <v>1.4735938900000001</v>
      </c>
      <c r="K52" s="14">
        <v>31.847602420000001</v>
      </c>
      <c r="L52" s="16">
        <v>2.1056222099999999</v>
      </c>
      <c r="M52" s="14" t="s">
        <v>139</v>
      </c>
      <c r="N52" s="16" t="s">
        <v>139</v>
      </c>
      <c r="O52" s="14">
        <v>0</v>
      </c>
      <c r="P52" s="16">
        <v>0</v>
      </c>
      <c r="Q52" s="14">
        <v>0</v>
      </c>
      <c r="R52" s="16">
        <v>0</v>
      </c>
      <c r="S52" s="14">
        <v>0</v>
      </c>
      <c r="T52" s="16">
        <v>0</v>
      </c>
      <c r="U52" s="14">
        <v>0</v>
      </c>
      <c r="V52" s="16">
        <v>0</v>
      </c>
    </row>
    <row r="53" spans="1:22" x14ac:dyDescent="0.25">
      <c r="A53" s="11" t="s">
        <v>186</v>
      </c>
      <c r="B53" s="13">
        <v>2760</v>
      </c>
      <c r="C53" s="14">
        <f>(2288/B53*100)</f>
        <v>82.898550724637673</v>
      </c>
      <c r="D53" s="15">
        <v>472</v>
      </c>
      <c r="E53" s="14">
        <v>41.558221039999999</v>
      </c>
      <c r="F53" s="16">
        <v>2.1945352699999998</v>
      </c>
      <c r="G53" s="14">
        <v>11.171296460000001</v>
      </c>
      <c r="H53" s="16">
        <v>1.71275723</v>
      </c>
      <c r="I53" s="14">
        <v>12.06370701</v>
      </c>
      <c r="J53" s="16">
        <v>1.6377092200000001</v>
      </c>
      <c r="K53" s="14">
        <v>35.206775489999998</v>
      </c>
      <c r="L53" s="16">
        <v>2.2356993100000002</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2675</v>
      </c>
      <c r="C56" s="14">
        <f>(2215/B56*100)</f>
        <v>82.803738317757009</v>
      </c>
      <c r="D56" s="15">
        <v>460</v>
      </c>
      <c r="E56" s="14">
        <v>18.48912778</v>
      </c>
      <c r="F56" s="16">
        <v>1.6322934499999999</v>
      </c>
      <c r="G56" s="14">
        <v>12.521478460000001</v>
      </c>
      <c r="H56" s="16">
        <v>1.8416276199999999</v>
      </c>
      <c r="I56" s="14">
        <v>18.965472599999998</v>
      </c>
      <c r="J56" s="16">
        <v>2.16986466</v>
      </c>
      <c r="K56" s="14">
        <v>50.02392116</v>
      </c>
      <c r="L56" s="16">
        <v>2.6518162699999999</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3201</v>
      </c>
      <c r="C61" s="14">
        <f>(2646/B61*100)</f>
        <v>82.661668228678536</v>
      </c>
      <c r="D61" s="15">
        <v>555</v>
      </c>
      <c r="E61" s="14">
        <v>40.51659961</v>
      </c>
      <c r="F61" s="16">
        <v>2.2057622000000001</v>
      </c>
      <c r="G61" s="14">
        <v>9.4500200499999991</v>
      </c>
      <c r="H61" s="16">
        <v>1.5270867299999999</v>
      </c>
      <c r="I61" s="14">
        <v>15.34145472</v>
      </c>
      <c r="J61" s="16">
        <v>1.6778155100000001</v>
      </c>
      <c r="K61" s="14">
        <v>34.691925619999999</v>
      </c>
      <c r="L61" s="16">
        <v>2.1692647699999998</v>
      </c>
      <c r="M61" s="14" t="s">
        <v>139</v>
      </c>
      <c r="N61" s="16" t="s">
        <v>139</v>
      </c>
      <c r="O61" s="14">
        <v>0</v>
      </c>
      <c r="P61" s="16">
        <v>0</v>
      </c>
      <c r="Q61" s="14">
        <v>0</v>
      </c>
      <c r="R61" s="16">
        <v>0</v>
      </c>
      <c r="S61" s="14">
        <v>0</v>
      </c>
      <c r="T61" s="16">
        <v>0</v>
      </c>
      <c r="U61" s="14">
        <v>0</v>
      </c>
      <c r="V61" s="16">
        <v>0</v>
      </c>
    </row>
    <row r="62" spans="1:22" x14ac:dyDescent="0.25">
      <c r="A62" s="11" t="s">
        <v>195</v>
      </c>
      <c r="B62" s="13">
        <v>2230</v>
      </c>
      <c r="C62" s="14">
        <f>(1840/B62*100)</f>
        <v>82.511210762331842</v>
      </c>
      <c r="D62" s="15">
        <v>390</v>
      </c>
      <c r="E62" s="14">
        <v>19.967939350000002</v>
      </c>
      <c r="F62" s="16">
        <v>1.9038148800000001</v>
      </c>
      <c r="G62" s="14">
        <v>9.7594974600000004</v>
      </c>
      <c r="H62" s="16">
        <v>1.3709773999999999</v>
      </c>
      <c r="I62" s="14">
        <v>15.16377031</v>
      </c>
      <c r="J62" s="16">
        <v>1.7323803799999999</v>
      </c>
      <c r="K62" s="14">
        <v>55.108792880000003</v>
      </c>
      <c r="L62" s="16">
        <v>2.7052127800000001</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2771</v>
      </c>
      <c r="C66" s="14">
        <f>(2300/B66*100)</f>
        <v>83.002526163839775</v>
      </c>
      <c r="D66" s="15">
        <v>471</v>
      </c>
      <c r="E66" s="14">
        <v>60.776371789999999</v>
      </c>
      <c r="F66" s="16">
        <v>2.2957797200000001</v>
      </c>
      <c r="G66" s="14">
        <v>7.6783275599999996</v>
      </c>
      <c r="H66" s="16">
        <v>1.10198453</v>
      </c>
      <c r="I66" s="14">
        <v>5.4966684399999997</v>
      </c>
      <c r="J66" s="16">
        <v>0.95817145999999997</v>
      </c>
      <c r="K66" s="14">
        <v>26.048632210000001</v>
      </c>
      <c r="L66" s="16">
        <v>1.99995199</v>
      </c>
      <c r="M66" s="14" t="s">
        <v>139</v>
      </c>
      <c r="N66" s="16" t="s">
        <v>139</v>
      </c>
      <c r="O66" s="14">
        <v>0</v>
      </c>
      <c r="P66" s="16">
        <v>0</v>
      </c>
      <c r="Q66" s="14">
        <v>0</v>
      </c>
      <c r="R66" s="16">
        <v>0</v>
      </c>
      <c r="S66" s="14">
        <v>0</v>
      </c>
      <c r="T66" s="16">
        <v>0</v>
      </c>
      <c r="U66" s="14">
        <v>0</v>
      </c>
      <c r="V66" s="16">
        <v>0</v>
      </c>
    </row>
    <row r="67" spans="1:22" x14ac:dyDescent="0.25">
      <c r="A67" s="11" t="s">
        <v>200</v>
      </c>
      <c r="B67" s="13">
        <v>3460</v>
      </c>
      <c r="C67" s="14">
        <f>(2945/B67*100)</f>
        <v>85.115606936416185</v>
      </c>
      <c r="D67" s="15">
        <v>515</v>
      </c>
      <c r="E67" s="14">
        <v>51.789616270000003</v>
      </c>
      <c r="F67" s="16">
        <v>2.2506458299999998</v>
      </c>
      <c r="G67" s="14">
        <v>13.708425180000001</v>
      </c>
      <c r="H67" s="16">
        <v>1.58124686</v>
      </c>
      <c r="I67" s="14">
        <v>11.825134909999999</v>
      </c>
      <c r="J67" s="16">
        <v>1.4334838599999999</v>
      </c>
      <c r="K67" s="14">
        <v>22.676823639999999</v>
      </c>
      <c r="L67" s="16">
        <v>1.7292372199999999</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3107</v>
      </c>
      <c r="C70" s="14">
        <f>(2573/B70*100)</f>
        <v>82.813002896684907</v>
      </c>
      <c r="D70" s="15">
        <v>534</v>
      </c>
      <c r="E70" s="14">
        <v>43.001469280000002</v>
      </c>
      <c r="F70" s="16">
        <v>3.1309737000000002</v>
      </c>
      <c r="G70" s="14">
        <v>8.7670545700000009</v>
      </c>
      <c r="H70" s="16">
        <v>1.76933389</v>
      </c>
      <c r="I70" s="14">
        <v>10.011510960000001</v>
      </c>
      <c r="J70" s="16">
        <v>1.1274179</v>
      </c>
      <c r="K70" s="14">
        <v>38.219965190000003</v>
      </c>
      <c r="L70" s="16">
        <v>2.7232052000000002</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3819</v>
      </c>
      <c r="C72" s="14">
        <f>(3169/B72*100)</f>
        <v>82.979837653836086</v>
      </c>
      <c r="D72" s="15">
        <v>650</v>
      </c>
      <c r="E72" s="14">
        <v>28.473614789999999</v>
      </c>
      <c r="F72" s="16">
        <v>2.0323283600000002</v>
      </c>
      <c r="G72" s="14">
        <v>11.27887628</v>
      </c>
      <c r="H72" s="16">
        <v>1.4402785199999999</v>
      </c>
      <c r="I72" s="14">
        <v>11.094984739999999</v>
      </c>
      <c r="J72" s="16">
        <v>1.4376328599999999</v>
      </c>
      <c r="K72" s="14">
        <v>49.152524190000001</v>
      </c>
      <c r="L72" s="16">
        <v>2.1497619100000001</v>
      </c>
      <c r="M72" s="14" t="s">
        <v>139</v>
      </c>
      <c r="N72" s="16" t="s">
        <v>139</v>
      </c>
      <c r="O72" s="14">
        <v>0</v>
      </c>
      <c r="P72" s="16">
        <v>0</v>
      </c>
      <c r="Q72" s="14">
        <v>0</v>
      </c>
      <c r="R72" s="16">
        <v>0</v>
      </c>
      <c r="S72" s="14">
        <v>0</v>
      </c>
      <c r="T72" s="16">
        <v>0</v>
      </c>
      <c r="U72" s="14">
        <v>0</v>
      </c>
      <c r="V72" s="16">
        <v>0</v>
      </c>
    </row>
    <row r="73" spans="1:22" x14ac:dyDescent="0.25">
      <c r="A73" s="11" t="s">
        <v>206</v>
      </c>
      <c r="B73" s="13">
        <v>4652</v>
      </c>
      <c r="C73" s="14">
        <f>(3880/B73*100)</f>
        <v>83.404987102321584</v>
      </c>
      <c r="D73" s="15">
        <v>772</v>
      </c>
      <c r="E73" s="14">
        <v>49.704560180000001</v>
      </c>
      <c r="F73" s="16">
        <v>2.2369762999999998</v>
      </c>
      <c r="G73" s="14">
        <v>13.50535715</v>
      </c>
      <c r="H73" s="16">
        <v>1.4259161499999999</v>
      </c>
      <c r="I73" s="14">
        <v>11.88516154</v>
      </c>
      <c r="J73" s="16">
        <v>1.2452479700000001</v>
      </c>
      <c r="K73" s="14">
        <v>24.904921130000002</v>
      </c>
      <c r="L73" s="16">
        <v>1.80102476</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2969</v>
      </c>
      <c r="C75" s="14">
        <f>(2509/B75*100)</f>
        <v>84.506567867969011</v>
      </c>
      <c r="D75" s="15">
        <v>460</v>
      </c>
      <c r="E75" s="14">
        <v>70.296296049999995</v>
      </c>
      <c r="F75" s="16">
        <v>2.2781731999999999</v>
      </c>
      <c r="G75" s="14">
        <v>12.71890153</v>
      </c>
      <c r="H75" s="16">
        <v>1.31142059</v>
      </c>
      <c r="I75" s="14">
        <v>7.9274216600000003</v>
      </c>
      <c r="J75" s="16">
        <v>1.05953103</v>
      </c>
      <c r="K75" s="14">
        <v>9.0573807599999991</v>
      </c>
      <c r="L75" s="16">
        <v>1.5440190499999999</v>
      </c>
      <c r="M75" s="14" t="s">
        <v>139</v>
      </c>
      <c r="N75" s="16" t="s">
        <v>139</v>
      </c>
      <c r="O75" s="14">
        <v>0</v>
      </c>
      <c r="P75" s="16">
        <v>0</v>
      </c>
      <c r="Q75" s="14">
        <v>0</v>
      </c>
      <c r="R75" s="16">
        <v>0</v>
      </c>
      <c r="S75" s="14">
        <v>0</v>
      </c>
      <c r="T75" s="16">
        <v>0</v>
      </c>
      <c r="U75" s="14">
        <v>0</v>
      </c>
      <c r="V75" s="16">
        <v>0</v>
      </c>
    </row>
    <row r="76" spans="1:22" x14ac:dyDescent="0.25">
      <c r="A76" s="11" t="s">
        <v>209</v>
      </c>
      <c r="B76" s="13">
        <v>7115</v>
      </c>
      <c r="C76" s="14">
        <f>(5896/B76*100)</f>
        <v>82.867182009838373</v>
      </c>
      <c r="D76" s="15">
        <v>1219</v>
      </c>
      <c r="E76" s="14">
        <v>47.128331920000001</v>
      </c>
      <c r="F76" s="16">
        <v>1.6934616300000001</v>
      </c>
      <c r="G76" s="14">
        <v>14.663533859999999</v>
      </c>
      <c r="H76" s="16">
        <v>1.29678812</v>
      </c>
      <c r="I76" s="14">
        <v>12.082229959999999</v>
      </c>
      <c r="J76" s="16">
        <v>1.26841187</v>
      </c>
      <c r="K76" s="14">
        <v>26.125904259999999</v>
      </c>
      <c r="L76" s="16">
        <v>1.7029353199999999</v>
      </c>
      <c r="M76" s="14" t="s">
        <v>139</v>
      </c>
      <c r="N76" s="16" t="s">
        <v>139</v>
      </c>
      <c r="O76" s="14">
        <v>0</v>
      </c>
      <c r="P76" s="16">
        <v>0</v>
      </c>
      <c r="Q76" s="14">
        <v>0</v>
      </c>
      <c r="R76" s="16">
        <v>0</v>
      </c>
      <c r="S76" s="14">
        <v>0</v>
      </c>
      <c r="T76" s="16">
        <v>0</v>
      </c>
      <c r="U76" s="14">
        <v>0</v>
      </c>
      <c r="V76" s="16">
        <v>0</v>
      </c>
    </row>
    <row r="77" spans="1:22" x14ac:dyDescent="0.25">
      <c r="A77" s="11" t="s">
        <v>210</v>
      </c>
      <c r="B77" s="13">
        <v>3154</v>
      </c>
      <c r="C77" s="14">
        <f>(2609/B77*100)</f>
        <v>82.720355104629036</v>
      </c>
      <c r="D77" s="15">
        <v>545</v>
      </c>
      <c r="E77" s="14">
        <v>48.802085910000002</v>
      </c>
      <c r="F77" s="16">
        <v>2.27041352</v>
      </c>
      <c r="G77" s="14">
        <v>6.9107915000000002</v>
      </c>
      <c r="H77" s="16">
        <v>0.98190182000000004</v>
      </c>
      <c r="I77" s="14">
        <v>11.2351612</v>
      </c>
      <c r="J77" s="16">
        <v>1.5986952400000001</v>
      </c>
      <c r="K77" s="14">
        <v>33.051961390000002</v>
      </c>
      <c r="L77" s="16">
        <v>2.09355548</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4698</v>
      </c>
      <c r="C81" s="14">
        <f>(3903/B81*100)</f>
        <v>83.077905491698601</v>
      </c>
      <c r="D81" s="15">
        <v>795</v>
      </c>
      <c r="E81" s="14">
        <v>39.711861149999997</v>
      </c>
      <c r="F81" s="16">
        <v>2.28815627</v>
      </c>
      <c r="G81" s="14">
        <v>15.8015957</v>
      </c>
      <c r="H81" s="16">
        <v>1.42697173</v>
      </c>
      <c r="I81" s="14">
        <v>17.048670390000002</v>
      </c>
      <c r="J81" s="16">
        <v>1.6471343599999999</v>
      </c>
      <c r="K81" s="14">
        <v>27.437872760000001</v>
      </c>
      <c r="L81" s="16">
        <v>2.2218556199999999</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72.110089189999997</v>
      </c>
      <c r="F7" s="16">
        <v>1.2828137399999999</v>
      </c>
      <c r="G7" s="14">
        <v>27.88991081</v>
      </c>
      <c r="H7" s="16">
        <v>1.2828137399999999</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68.652971519999994</v>
      </c>
      <c r="F8" s="16">
        <v>2.0795741599999999</v>
      </c>
      <c r="G8" s="14">
        <v>31.347028479999999</v>
      </c>
      <c r="H8" s="16">
        <v>2.0795741599999999</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70.786478130000006</v>
      </c>
      <c r="F9" s="16">
        <v>1.7180997200000001</v>
      </c>
      <c r="G9" s="14">
        <v>29.213521870000001</v>
      </c>
      <c r="H9" s="16">
        <v>1.7180997200000001</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73.95405452</v>
      </c>
      <c r="F10" s="16">
        <v>1.79595259</v>
      </c>
      <c r="G10" s="14">
        <v>26.04594548</v>
      </c>
      <c r="H10" s="16">
        <v>1.79595259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77.270936750000004</v>
      </c>
      <c r="F11" s="16">
        <v>1.9370014600000001</v>
      </c>
      <c r="G11" s="14">
        <v>22.729063249999999</v>
      </c>
      <c r="H11" s="16">
        <v>1.9370014600000001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69.37558113</v>
      </c>
      <c r="F12" s="16">
        <v>1.92043282</v>
      </c>
      <c r="G12" s="14">
        <v>30.62441887</v>
      </c>
      <c r="H12" s="16">
        <v>1.92043282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67.236147970000005</v>
      </c>
      <c r="F13" s="16">
        <v>2.3924028800000001</v>
      </c>
      <c r="G13" s="14">
        <v>32.763852030000002</v>
      </c>
      <c r="H13" s="16">
        <v>2.3924028800000001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70.466604009999998</v>
      </c>
      <c r="F14" s="16">
        <v>2.0379334199999999</v>
      </c>
      <c r="G14" s="14">
        <v>29.533395989999999</v>
      </c>
      <c r="H14" s="16">
        <v>2.0379334199999999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74.567086919999994</v>
      </c>
      <c r="F15" s="16">
        <v>2.0974181000000001</v>
      </c>
      <c r="G15" s="14">
        <v>25.432913079999999</v>
      </c>
      <c r="H15" s="16">
        <v>2.0974181000000001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79.932771500000001</v>
      </c>
      <c r="F16" s="16">
        <v>1.75060573</v>
      </c>
      <c r="G16" s="14">
        <v>20.067228499999999</v>
      </c>
      <c r="H16" s="16">
        <v>1.75060573</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67.869351519999995</v>
      </c>
      <c r="F17" s="16">
        <v>2.1198761099999999</v>
      </c>
      <c r="G17" s="14">
        <v>32.130648479999998</v>
      </c>
      <c r="H17" s="16">
        <v>2.1198761099999999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2850</v>
      </c>
      <c r="C19" s="14">
        <f>(2364/B19*100)</f>
        <v>82.94736842105263</v>
      </c>
      <c r="D19" s="15">
        <v>486</v>
      </c>
      <c r="E19" s="14">
        <v>72.706804000000005</v>
      </c>
      <c r="F19" s="16">
        <v>2.0619201700000001</v>
      </c>
      <c r="G19" s="14">
        <v>27.293195999999998</v>
      </c>
      <c r="H19" s="16">
        <v>2.0619201700000001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63.331402160000003</v>
      </c>
      <c r="F20" s="16">
        <v>2.6459832099999998</v>
      </c>
      <c r="G20" s="14">
        <v>36.668597839999997</v>
      </c>
      <c r="H20" s="16">
        <v>2.6459832099999998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75.163194680000004</v>
      </c>
      <c r="F22" s="16">
        <v>1.8801008100000001</v>
      </c>
      <c r="G22" s="14">
        <v>24.83680532</v>
      </c>
      <c r="H22" s="16">
        <v>1.8801008100000001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74.992888870000002</v>
      </c>
      <c r="F23" s="16">
        <v>2.1153999099999998</v>
      </c>
      <c r="G23" s="14">
        <v>25.007111129999998</v>
      </c>
      <c r="H23" s="16">
        <v>2.1153999099999998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39.379883890000002</v>
      </c>
      <c r="F24" s="16">
        <v>2.3441278900000002</v>
      </c>
      <c r="G24" s="14">
        <v>60.620116109999998</v>
      </c>
      <c r="H24" s="16">
        <v>2.3441278900000002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48.961408159999998</v>
      </c>
      <c r="F25" s="16">
        <v>2.0086587300000001</v>
      </c>
      <c r="G25" s="14">
        <v>51.038591840000002</v>
      </c>
      <c r="H25" s="16">
        <v>2.0086587300000001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75.190098219999996</v>
      </c>
      <c r="F26" s="16">
        <v>2.2391194200000002</v>
      </c>
      <c r="G26" s="14">
        <v>24.809901780000001</v>
      </c>
      <c r="H26" s="16">
        <v>2.2391194200000002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77.479637310000001</v>
      </c>
      <c r="F27" s="16">
        <v>1.7466292699999999</v>
      </c>
      <c r="G27" s="14">
        <v>22.520362689999999</v>
      </c>
      <c r="H27" s="16">
        <v>1.7466292699999999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79.125852159999994</v>
      </c>
      <c r="F28" s="16">
        <v>1.58071085</v>
      </c>
      <c r="G28" s="14">
        <v>20.874147839999999</v>
      </c>
      <c r="H28" s="16">
        <v>1.58071085</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66.050894549999995</v>
      </c>
      <c r="F29" s="16">
        <v>2.21756054</v>
      </c>
      <c r="G29" s="14">
        <v>33.949105449999998</v>
      </c>
      <c r="H29" s="16">
        <v>2.21756054</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57.846944039999997</v>
      </c>
      <c r="F30" s="16">
        <v>2.3449436299999999</v>
      </c>
      <c r="G30" s="14">
        <v>42.153055960000003</v>
      </c>
      <c r="H30" s="16">
        <v>2.3449436299999999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73.194484779999996</v>
      </c>
      <c r="F31" s="16">
        <v>1.93389802</v>
      </c>
      <c r="G31" s="14">
        <v>26.80551522</v>
      </c>
      <c r="H31" s="16">
        <v>1.93389802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81.619853190000001</v>
      </c>
      <c r="F33" s="16">
        <v>1.7119823999999999</v>
      </c>
      <c r="G33" s="14">
        <v>18.380146809999999</v>
      </c>
      <c r="H33" s="16">
        <v>1.7119823999999999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71.440258400000005</v>
      </c>
      <c r="F34" s="16">
        <v>1.8168615299999999</v>
      </c>
      <c r="G34" s="14">
        <v>28.559741599999999</v>
      </c>
      <c r="H34" s="16">
        <v>1.8168615299999999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74.762433259999995</v>
      </c>
      <c r="F35" s="16">
        <v>2.6351165499999998</v>
      </c>
      <c r="G35" s="14">
        <v>25.237566739999998</v>
      </c>
      <c r="H35" s="16">
        <v>2.6351165499999998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76.006113319999997</v>
      </c>
      <c r="F36" s="16">
        <v>1.97632238</v>
      </c>
      <c r="G36" s="14">
        <v>23.993886679999999</v>
      </c>
      <c r="H36" s="16">
        <v>1.97632238</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75.874341220000005</v>
      </c>
      <c r="F37" s="16">
        <v>1.70300538</v>
      </c>
      <c r="G37" s="14">
        <v>24.125658779999998</v>
      </c>
      <c r="H37" s="16">
        <v>1.70300538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79.650802720000002</v>
      </c>
      <c r="F39" s="16">
        <v>2.0935706600000001</v>
      </c>
      <c r="G39" s="14">
        <v>20.349197279999998</v>
      </c>
      <c r="H39" s="16">
        <v>2.0935706600000001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74.708207090000002</v>
      </c>
      <c r="F40" s="16">
        <v>1.6674345100000001</v>
      </c>
      <c r="G40" s="14">
        <v>25.291792910000002</v>
      </c>
      <c r="H40" s="16">
        <v>1.6674345100000001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78.004284369999993</v>
      </c>
      <c r="F41" s="16">
        <v>2.0542251600000001</v>
      </c>
      <c r="G41" s="14">
        <v>21.995715629999999</v>
      </c>
      <c r="H41" s="16">
        <v>2.0542251600000001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68.990995610937503</v>
      </c>
      <c r="F42" s="16">
        <f>IF(COUNT(F7:F41) &gt; 0, SQRT(SUMSQ(F7:F41)/(COUNT(F7:F41)*COUNT(F7:F41)) ), "—")</f>
        <v>0.35119551784271846</v>
      </c>
      <c r="G42" s="14">
        <f>IF(COUNT(G7:G41) &gt; 0, AVERAGE(G7:G41), "—")</f>
        <v>27.884004389062497</v>
      </c>
      <c r="H42" s="16">
        <f>IF(COUNT(H7:H41) &gt; 0, SQRT(SUMSQ(H7:H41)/(COUNT(H7:H41)*COUNT(H7:H41)) ), "—")</f>
        <v>0.35119551784271846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80.887012780000006</v>
      </c>
      <c r="F46" s="16">
        <v>1.2062852399999999</v>
      </c>
      <c r="G46" s="14">
        <v>19.112987220000001</v>
      </c>
      <c r="H46" s="16">
        <v>1.2062852399999999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69.759824809999998</v>
      </c>
      <c r="F47" s="16">
        <v>2.4848420899999999</v>
      </c>
      <c r="G47" s="14">
        <v>30.240175189999999</v>
      </c>
      <c r="H47" s="16">
        <v>2.4848420899999999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63.783786630000002</v>
      </c>
      <c r="F48" s="16">
        <v>2.2761028599999999</v>
      </c>
      <c r="G48" s="14">
        <v>36.216213369999998</v>
      </c>
      <c r="H48" s="16">
        <v>2.2761028599999999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79.677555369999993</v>
      </c>
      <c r="F50" s="16">
        <v>1.4625692699999999</v>
      </c>
      <c r="G50" s="14">
        <v>20.32244463</v>
      </c>
      <c r="H50" s="16">
        <v>1.4625692699999999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78.356453139999999</v>
      </c>
      <c r="F51" s="16">
        <v>1.68419246</v>
      </c>
      <c r="G51" s="14">
        <v>21.643546860000001</v>
      </c>
      <c r="H51" s="16">
        <v>1.68419246</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2760</v>
      </c>
      <c r="C53" s="14">
        <f>(2288/B53*100)</f>
        <v>82.898550724637673</v>
      </c>
      <c r="D53" s="15">
        <v>472</v>
      </c>
      <c r="E53" s="14">
        <v>81.950847120000006</v>
      </c>
      <c r="F53" s="16">
        <v>1.67207978</v>
      </c>
      <c r="G53" s="14">
        <v>18.049152880000001</v>
      </c>
      <c r="H53" s="16">
        <v>1.67207978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55.018853550000003</v>
      </c>
      <c r="F56" s="16">
        <v>2.31658045</v>
      </c>
      <c r="G56" s="14">
        <v>44.981146449999997</v>
      </c>
      <c r="H56" s="16">
        <v>2.31658045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80.017811910000006</v>
      </c>
      <c r="F61" s="16">
        <v>1.6598459800000001</v>
      </c>
      <c r="G61" s="14">
        <v>19.982188090000001</v>
      </c>
      <c r="H61" s="16">
        <v>1.6598459800000001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57.675770440000001</v>
      </c>
      <c r="F62" s="16">
        <v>2.2974005100000001</v>
      </c>
      <c r="G62" s="14">
        <v>42.324229559999999</v>
      </c>
      <c r="H62" s="16">
        <v>2.2974005100000001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3460</v>
      </c>
      <c r="C67" s="14">
        <f>(2945/B67*100)</f>
        <v>85.115606936416185</v>
      </c>
      <c r="D67" s="15">
        <v>515</v>
      </c>
      <c r="E67" s="14">
        <v>82.530999300000005</v>
      </c>
      <c r="F67" s="16">
        <v>1.8474336099999999</v>
      </c>
      <c r="G67" s="14">
        <v>17.469000699999999</v>
      </c>
      <c r="H67" s="16">
        <v>1.8474336099999999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68.117360349999998</v>
      </c>
      <c r="F70" s="16">
        <v>2.6071235399999999</v>
      </c>
      <c r="G70" s="14">
        <v>31.882639650000002</v>
      </c>
      <c r="H70" s="16">
        <v>2.6071235399999999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51.243251399999998</v>
      </c>
      <c r="F72" s="16">
        <v>2.2635634699999998</v>
      </c>
      <c r="G72" s="14">
        <v>48.756748600000002</v>
      </c>
      <c r="H72" s="16">
        <v>2.2635634699999998</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73.370234240000002</v>
      </c>
      <c r="F73" s="16">
        <v>2.0238164699999999</v>
      </c>
      <c r="G73" s="14">
        <v>26.629765760000002</v>
      </c>
      <c r="H73" s="16">
        <v>2.0238164699999999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82.547492250000005</v>
      </c>
      <c r="F75" s="16">
        <v>1.80088969</v>
      </c>
      <c r="G75" s="14">
        <v>17.452507749999999</v>
      </c>
      <c r="H75" s="16">
        <v>1.80088969</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73.642257360000002</v>
      </c>
      <c r="F76" s="16">
        <v>1.3781814299999999</v>
      </c>
      <c r="G76" s="14">
        <v>26.357742640000001</v>
      </c>
      <c r="H76" s="16">
        <v>1.3781814299999999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(2609/B77*100)</f>
        <v>82.720355104629036</v>
      </c>
      <c r="D77" s="15">
        <v>545</v>
      </c>
      <c r="E77" s="14">
        <v>74.982563769999999</v>
      </c>
      <c r="F77" s="16">
        <v>2.1305176299999999</v>
      </c>
      <c r="G77" s="14">
        <v>25.017436230000001</v>
      </c>
      <c r="H77" s="16">
        <v>2.1305176299999999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62.899045129999998</v>
      </c>
      <c r="F81" s="16">
        <v>2.1081619900000002</v>
      </c>
      <c r="G81" s="14">
        <v>37.100954870000002</v>
      </c>
      <c r="H81" s="16">
        <v>2.1081619900000002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(5957/B7*100)</f>
        <v>83.163478989250322</v>
      </c>
      <c r="D7" s="15">
        <v>1206</v>
      </c>
      <c r="E7" s="14">
        <v>30.12251105</v>
      </c>
      <c r="F7" s="16">
        <v>1.57351332</v>
      </c>
      <c r="G7" s="14">
        <v>69.87748895</v>
      </c>
      <c r="H7" s="16">
        <v>1.57351332</v>
      </c>
      <c r="I7" s="14" t="s">
        <v>139</v>
      </c>
      <c r="J7" s="16" t="s">
        <v>139</v>
      </c>
      <c r="K7" s="14">
        <v>0</v>
      </c>
      <c r="L7" s="16">
        <v>0</v>
      </c>
      <c r="M7" s="14">
        <v>0</v>
      </c>
      <c r="N7" s="16">
        <v>0</v>
      </c>
      <c r="O7" s="14">
        <v>0</v>
      </c>
      <c r="P7" s="16">
        <v>0</v>
      </c>
      <c r="Q7" s="14">
        <v>0</v>
      </c>
      <c r="R7" s="16">
        <v>0</v>
      </c>
    </row>
    <row r="8" spans="1:18" x14ac:dyDescent="0.25">
      <c r="A8" s="11" t="s">
        <v>140</v>
      </c>
      <c r="B8" s="13">
        <v>3443</v>
      </c>
      <c r="C8" s="14">
        <f>(2863/B8*100)</f>
        <v>83.154225965727562</v>
      </c>
      <c r="D8" s="15">
        <v>580</v>
      </c>
      <c r="E8" s="14">
        <v>30.28302253</v>
      </c>
      <c r="F8" s="16">
        <v>1.9477777700000001</v>
      </c>
      <c r="G8" s="14">
        <v>69.716977470000003</v>
      </c>
      <c r="H8" s="16">
        <v>1.9477777700000001</v>
      </c>
      <c r="I8" s="14" t="s">
        <v>139</v>
      </c>
      <c r="J8" s="16" t="s">
        <v>139</v>
      </c>
      <c r="K8" s="14">
        <v>0</v>
      </c>
      <c r="L8" s="16">
        <v>0</v>
      </c>
      <c r="M8" s="14">
        <v>0</v>
      </c>
      <c r="N8" s="16">
        <v>0</v>
      </c>
      <c r="O8" s="14">
        <v>0</v>
      </c>
      <c r="P8" s="16">
        <v>0</v>
      </c>
      <c r="Q8" s="14">
        <v>0</v>
      </c>
      <c r="R8" s="16">
        <v>0</v>
      </c>
    </row>
    <row r="9" spans="1:18" x14ac:dyDescent="0.25">
      <c r="A9" s="11" t="s">
        <v>141</v>
      </c>
      <c r="B9" s="13">
        <v>4752</v>
      </c>
      <c r="C9" s="14">
        <f>(3951/B9*100)</f>
        <v>83.143939393939391</v>
      </c>
      <c r="D9" s="15">
        <v>801</v>
      </c>
      <c r="E9" s="14">
        <v>36.806296019999998</v>
      </c>
      <c r="F9" s="16">
        <v>1.9318730200000001</v>
      </c>
      <c r="G9" s="14">
        <v>63.193703980000002</v>
      </c>
      <c r="H9" s="16">
        <v>1.9318730200000001</v>
      </c>
      <c r="I9" s="14" t="s">
        <v>139</v>
      </c>
      <c r="J9" s="16" t="s">
        <v>139</v>
      </c>
      <c r="K9" s="14">
        <v>0</v>
      </c>
      <c r="L9" s="16">
        <v>0</v>
      </c>
      <c r="M9" s="14">
        <v>0</v>
      </c>
      <c r="N9" s="16">
        <v>0</v>
      </c>
      <c r="O9" s="14">
        <v>0</v>
      </c>
      <c r="P9" s="16">
        <v>0</v>
      </c>
      <c r="Q9" s="14">
        <v>0</v>
      </c>
      <c r="R9" s="16">
        <v>0</v>
      </c>
    </row>
    <row r="10" spans="1:18" x14ac:dyDescent="0.25">
      <c r="A10" s="11" t="s">
        <v>142</v>
      </c>
      <c r="B10" s="13">
        <v>10022</v>
      </c>
      <c r="C10" s="14">
        <f>(8318/B10*100)</f>
        <v>82.997405707443633</v>
      </c>
      <c r="D10" s="15">
        <v>1704</v>
      </c>
      <c r="E10" s="14">
        <v>28.342845910000001</v>
      </c>
      <c r="F10" s="16">
        <v>1.42957091</v>
      </c>
      <c r="G10" s="14">
        <v>71.657154090000006</v>
      </c>
      <c r="H10" s="16">
        <v>1.42957091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(2924/B11*100)</f>
        <v>83.542857142857144</v>
      </c>
      <c r="D11" s="15">
        <v>576</v>
      </c>
      <c r="E11" s="14">
        <v>52.828912299999999</v>
      </c>
      <c r="F11" s="16">
        <v>2.48018684</v>
      </c>
      <c r="G11" s="14">
        <v>47.171087700000001</v>
      </c>
      <c r="H11" s="16">
        <v>2.48018684</v>
      </c>
      <c r="I11" s="14" t="s">
        <v>139</v>
      </c>
      <c r="J11" s="16" t="s">
        <v>139</v>
      </c>
      <c r="K11" s="14">
        <v>0</v>
      </c>
      <c r="L11" s="16">
        <v>0</v>
      </c>
      <c r="M11" s="14">
        <v>0</v>
      </c>
      <c r="N11" s="16">
        <v>0</v>
      </c>
      <c r="O11" s="14">
        <v>0</v>
      </c>
      <c r="P11" s="16">
        <v>0</v>
      </c>
      <c r="Q11" s="14">
        <v>0</v>
      </c>
      <c r="R11" s="16">
        <v>0</v>
      </c>
    </row>
    <row r="12" spans="1:18" x14ac:dyDescent="0.25">
      <c r="A12" s="11" t="s">
        <v>144</v>
      </c>
      <c r="B12" s="13">
        <v>3422</v>
      </c>
      <c r="C12" s="14">
        <f>(2827/B12*100)</f>
        <v>82.612507305669197</v>
      </c>
      <c r="D12" s="15">
        <v>595</v>
      </c>
      <c r="E12" s="14">
        <v>34.863808720000002</v>
      </c>
      <c r="F12" s="16">
        <v>2.9845669799999999</v>
      </c>
      <c r="G12" s="14">
        <v>65.136191280000006</v>
      </c>
      <c r="H12" s="16">
        <v>2.9845669799999999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(3008/B13*100)</f>
        <v>83.509161576901718</v>
      </c>
      <c r="D13" s="15">
        <v>594</v>
      </c>
      <c r="E13" s="14">
        <v>30.408856220000001</v>
      </c>
      <c r="F13" s="16">
        <v>2.1844071899999999</v>
      </c>
      <c r="G13" s="14">
        <v>69.591143779999996</v>
      </c>
      <c r="H13" s="16">
        <v>2.1844071899999999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(2311/B14*100)</f>
        <v>82.890961262553802</v>
      </c>
      <c r="D14" s="15">
        <v>477</v>
      </c>
      <c r="E14" s="14">
        <v>25.949485370000001</v>
      </c>
      <c r="F14" s="16">
        <v>2.1691661500000001</v>
      </c>
      <c r="G14" s="14">
        <v>74.050514629999995</v>
      </c>
      <c r="H14" s="16">
        <v>2.1691661500000001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(2371/B15*100)</f>
        <v>82.81522878099895</v>
      </c>
      <c r="D15" s="15">
        <v>492</v>
      </c>
      <c r="E15" s="14">
        <v>26.136085619999999</v>
      </c>
      <c r="F15" s="16">
        <v>2.06233018</v>
      </c>
      <c r="G15" s="14">
        <v>73.863914379999997</v>
      </c>
      <c r="H15" s="16">
        <v>2.06233018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(2564/B16*100)</f>
        <v>82.417229186756671</v>
      </c>
      <c r="D16" s="15">
        <v>547</v>
      </c>
      <c r="E16" s="14">
        <v>41.520055640000002</v>
      </c>
      <c r="F16" s="16">
        <v>2.4549439400000002</v>
      </c>
      <c r="G16" s="14">
        <v>58.479944359999998</v>
      </c>
      <c r="H16" s="16">
        <v>2.4549439400000002</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25.255685799999998</v>
      </c>
      <c r="F17" s="16">
        <v>1.8504225299999999</v>
      </c>
      <c r="G17" s="14">
        <v>74.744314200000005</v>
      </c>
      <c r="H17" s="16">
        <v>1.8504225299999999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(2280/B18*100)</f>
        <v>84.257206208425714</v>
      </c>
      <c r="D18" s="15">
        <v>426</v>
      </c>
      <c r="E18" s="14">
        <v>46.38833425</v>
      </c>
      <c r="F18" s="16">
        <v>2.3664530400000001</v>
      </c>
      <c r="G18" s="14">
        <v>53.61166575</v>
      </c>
      <c r="H18" s="16">
        <v>2.3664530400000001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(2364/B19*100)</f>
        <v>82.94736842105263</v>
      </c>
      <c r="D19" s="15">
        <v>486</v>
      </c>
      <c r="E19" s="14">
        <v>48.059504480000001</v>
      </c>
      <c r="F19" s="16">
        <v>2.6035519499999999</v>
      </c>
      <c r="G19" s="14">
        <v>51.940495519999999</v>
      </c>
      <c r="H19" s="16">
        <v>2.6035519499999999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32.01112998</v>
      </c>
      <c r="F20" s="16">
        <v>2.58668817</v>
      </c>
      <c r="G20" s="14">
        <v>67.988870019999993</v>
      </c>
      <c r="H20" s="16">
        <v>2.58668817</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(3117/B22*100)</f>
        <v>85.001363512407963</v>
      </c>
      <c r="D22" s="15">
        <v>550</v>
      </c>
      <c r="E22" s="14">
        <v>49.512641639999998</v>
      </c>
      <c r="F22" s="16">
        <v>2.6408884000000001</v>
      </c>
      <c r="G22" s="14">
        <v>50.487358360000002</v>
      </c>
      <c r="H22" s="16">
        <v>2.6408884000000001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(4807/B23*100)</f>
        <v>82.993784530386733</v>
      </c>
      <c r="D23" s="15">
        <v>985</v>
      </c>
      <c r="E23" s="14">
        <v>47.585153400000003</v>
      </c>
      <c r="F23" s="16">
        <v>2.5287535600000002</v>
      </c>
      <c r="G23" s="14">
        <v>52.414846599999997</v>
      </c>
      <c r="H23" s="16">
        <v>2.5287535600000002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(2714/B24*100)</f>
        <v>82.018736778482932</v>
      </c>
      <c r="D24" s="15">
        <v>595</v>
      </c>
      <c r="E24" s="14">
        <v>34.362640020000001</v>
      </c>
      <c r="F24" s="16">
        <v>1.67286829</v>
      </c>
      <c r="G24" s="14">
        <v>65.637359979999999</v>
      </c>
      <c r="H24" s="16">
        <v>1.67286829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35.91109067</v>
      </c>
      <c r="F25" s="16">
        <v>2.0349001699999998</v>
      </c>
      <c r="G25" s="14">
        <v>64.088909330000007</v>
      </c>
      <c r="H25" s="16">
        <v>2.0349001699999998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(2000/B26*100)</f>
        <v>82.678792889623807</v>
      </c>
      <c r="D26" s="15">
        <v>419</v>
      </c>
      <c r="E26" s="14">
        <v>39.839929859999998</v>
      </c>
      <c r="F26" s="16">
        <v>2.45369058</v>
      </c>
      <c r="G26" s="14">
        <v>60.160070140000002</v>
      </c>
      <c r="H26" s="16">
        <v>2.45369058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36.689392169999998</v>
      </c>
      <c r="F27" s="16">
        <v>2.30842941</v>
      </c>
      <c r="G27" s="14">
        <v>63.310607830000002</v>
      </c>
      <c r="H27" s="16">
        <v>2.30842941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(3164/B28*100)</f>
        <v>83.197475677097032</v>
      </c>
      <c r="D28" s="15">
        <v>639</v>
      </c>
      <c r="E28" s="14">
        <v>59.946712429999998</v>
      </c>
      <c r="F28" s="16">
        <v>2.1807872100000001</v>
      </c>
      <c r="G28" s="14">
        <v>40.053287570000002</v>
      </c>
      <c r="H28" s="16">
        <v>2.1807872100000001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(2241/B29*100)</f>
        <v>83</v>
      </c>
      <c r="D29" s="15">
        <v>459</v>
      </c>
      <c r="E29" s="14">
        <v>26.290078619999999</v>
      </c>
      <c r="F29" s="16">
        <v>2.1606805800000002</v>
      </c>
      <c r="G29" s="14">
        <v>73.709921379999997</v>
      </c>
      <c r="H29" s="16">
        <v>2.1606805800000002</v>
      </c>
      <c r="I29" s="14" t="s">
        <v>139</v>
      </c>
      <c r="J29" s="16" t="s">
        <v>139</v>
      </c>
      <c r="K29" s="14">
        <v>0</v>
      </c>
      <c r="L29" s="16">
        <v>0</v>
      </c>
      <c r="M29" s="14">
        <v>0</v>
      </c>
      <c r="N29" s="16">
        <v>0</v>
      </c>
      <c r="O29" s="14">
        <v>0</v>
      </c>
      <c r="P29" s="16">
        <v>0</v>
      </c>
      <c r="Q29" s="14">
        <v>0</v>
      </c>
      <c r="R29" s="16">
        <v>0</v>
      </c>
    </row>
    <row r="30" spans="1:18" x14ac:dyDescent="0.25">
      <c r="A30" s="11" t="s">
        <v>163</v>
      </c>
      <c r="B30" s="13">
        <v>2257</v>
      </c>
      <c r="C30" s="14">
        <f>(1879/B30*100)</f>
        <v>83.252104563579977</v>
      </c>
      <c r="D30" s="15">
        <v>378</v>
      </c>
      <c r="E30" s="14">
        <v>32.35156722</v>
      </c>
      <c r="F30" s="16">
        <v>2.59867392</v>
      </c>
      <c r="G30" s="14">
        <v>67.648432779999993</v>
      </c>
      <c r="H30" s="16">
        <v>2.59867392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(2223/B31*100)</f>
        <v>82.150776053215083</v>
      </c>
      <c r="D31" s="15">
        <v>483</v>
      </c>
      <c r="E31" s="14">
        <v>39.822290809999998</v>
      </c>
      <c r="F31" s="16">
        <v>2.5295526100000001</v>
      </c>
      <c r="G31" s="14">
        <v>60.177709190000002</v>
      </c>
      <c r="H31" s="16">
        <v>2.5295526100000001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(3020/B33*100)</f>
        <v>82.717063818132019</v>
      </c>
      <c r="D33" s="15">
        <v>631</v>
      </c>
      <c r="E33" s="14">
        <v>40.834934390000001</v>
      </c>
      <c r="F33" s="16">
        <v>2.3510158699999999</v>
      </c>
      <c r="G33" s="14">
        <v>59.165065609999999</v>
      </c>
      <c r="H33" s="16">
        <v>2.3510158699999999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(2555/B34*100)</f>
        <v>84.184514003294893</v>
      </c>
      <c r="D34" s="15">
        <v>480</v>
      </c>
      <c r="E34" s="14">
        <v>38.601441680000001</v>
      </c>
      <c r="F34" s="16">
        <v>2.4188759900000001</v>
      </c>
      <c r="G34" s="14">
        <v>61.398558319999999</v>
      </c>
      <c r="H34" s="16">
        <v>2.4188759900000001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(2416/B35*100)</f>
        <v>83.281627025163743</v>
      </c>
      <c r="D35" s="15">
        <v>485</v>
      </c>
      <c r="E35" s="14">
        <v>42.252814610000001</v>
      </c>
      <c r="F35" s="16">
        <v>3.3235088899999998</v>
      </c>
      <c r="G35" s="14">
        <v>57.747185389999999</v>
      </c>
      <c r="H35" s="16">
        <v>3.3235088899999998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(2815/B36*100)</f>
        <v>82.696827262044664</v>
      </c>
      <c r="D36" s="15">
        <v>589</v>
      </c>
      <c r="E36" s="14">
        <v>39.027756109999999</v>
      </c>
      <c r="F36" s="16">
        <v>2.0794660700000001</v>
      </c>
      <c r="G36" s="14">
        <v>60.972243890000001</v>
      </c>
      <c r="H36" s="16">
        <v>2.0794660700000001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(2277/B37*100)</f>
        <v>83.376052727938486</v>
      </c>
      <c r="D37" s="15">
        <v>454</v>
      </c>
      <c r="E37" s="14">
        <v>31.191643150000001</v>
      </c>
      <c r="F37" s="16">
        <v>2.2923030799999999</v>
      </c>
      <c r="G37" s="14">
        <v>68.808356849999996</v>
      </c>
      <c r="H37" s="16">
        <v>2.2923030799999999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(2428/B39*100)</f>
        <v>82.641252552756981</v>
      </c>
      <c r="D39" s="15">
        <v>510</v>
      </c>
      <c r="E39" s="14">
        <v>71.531444320000006</v>
      </c>
      <c r="F39" s="16">
        <v>2.5234661100000002</v>
      </c>
      <c r="G39" s="14">
        <v>28.468555680000001</v>
      </c>
      <c r="H39" s="16">
        <v>2.5234661100000002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(5712/B40*100)</f>
        <v>82.519503033805265</v>
      </c>
      <c r="D40" s="15">
        <v>1210</v>
      </c>
      <c r="E40" s="14">
        <v>41.95418505</v>
      </c>
      <c r="F40" s="16">
        <v>2.1243260099999999</v>
      </c>
      <c r="G40" s="14">
        <v>58.04581495</v>
      </c>
      <c r="H40" s="16">
        <v>2.1243260099999999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(2386/B41*100)</f>
        <v>83.601962158374207</v>
      </c>
      <c r="D41" s="15">
        <v>468</v>
      </c>
      <c r="E41" s="14">
        <v>37.196627040000003</v>
      </c>
      <c r="F41" s="16">
        <v>2.6628034299999999</v>
      </c>
      <c r="G41" s="14">
        <v>62.803372959999997</v>
      </c>
      <c r="H41" s="16">
        <v>2.6628034299999999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83.081142635323488</v>
      </c>
      <c r="D42" s="15">
        <f>IF(COUNT(D7:D41) &gt; 0, AVERAGE(D7:D41), "—")</f>
        <v>611.875</v>
      </c>
      <c r="E42" s="14">
        <f>IF(COUNT(E7:E41) &gt; 0, AVERAGE(E7:E41), "—")</f>
        <v>38.558714908749998</v>
      </c>
      <c r="F42" s="16">
        <f>IF(COUNT(F7:F41) &gt; 0, SQRT(SUMSQ(F7:F41)/(COUNT(F7:F41)*COUNT(F7:F41)) ), "—")</f>
        <v>0.41169752366244455</v>
      </c>
      <c r="G42" s="14">
        <f>IF(COUNT(G7:G41) &gt; 0, AVERAGE(G7:G41), "—")</f>
        <v>61.441285091250002</v>
      </c>
      <c r="H42" s="16">
        <f>IF(COUNT(H7:H41) &gt; 0, SQRT(SUMSQ(H7:H41)/(COUNT(H7:H41)*COUNT(H7:H41)) ), "—")</f>
        <v>0.41169752366244455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(10298/B46*100)</f>
        <v>85.297771887683254</v>
      </c>
      <c r="D46" s="15">
        <v>1775</v>
      </c>
      <c r="E46" s="14">
        <v>62.46505088</v>
      </c>
      <c r="F46" s="16">
        <v>1.5930749200000001</v>
      </c>
      <c r="G46" s="14">
        <v>37.53494912</v>
      </c>
      <c r="H46" s="16">
        <v>1.5930749200000001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47.155376359999998</v>
      </c>
      <c r="F47" s="16">
        <v>2.6815385300000001</v>
      </c>
      <c r="G47" s="14">
        <v>52.844623640000002</v>
      </c>
      <c r="H47" s="16">
        <v>2.6815385300000001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35.813915229999999</v>
      </c>
      <c r="F48" s="16">
        <v>2.4241909499999998</v>
      </c>
      <c r="G48" s="14">
        <v>64.186084769999994</v>
      </c>
      <c r="H48" s="16">
        <v>2.4241909499999998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(5130/B50*100)</f>
        <v>83.306268268918487</v>
      </c>
      <c r="D50" s="15">
        <v>1028</v>
      </c>
      <c r="E50" s="14">
        <v>65.28045496</v>
      </c>
      <c r="F50" s="16">
        <v>2.1963992600000002</v>
      </c>
      <c r="G50" s="14">
        <v>34.71954504</v>
      </c>
      <c r="H50" s="16">
        <v>2.1963992600000002</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(2962/B51*100)</f>
        <v>84.773898111047501</v>
      </c>
      <c r="D51" s="15">
        <v>532</v>
      </c>
      <c r="E51" s="14">
        <v>56.947041779999999</v>
      </c>
      <c r="F51" s="16">
        <v>2.5772671699999998</v>
      </c>
      <c r="G51" s="14">
        <v>43.052958220000001</v>
      </c>
      <c r="H51" s="16">
        <v>2.5772671699999998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(2482/B52*100)</f>
        <v>82.376369067374711</v>
      </c>
      <c r="D52" s="15">
        <v>531</v>
      </c>
      <c r="E52" s="14">
        <v>47.82496321</v>
      </c>
      <c r="F52" s="16">
        <v>2.1192339599999999</v>
      </c>
      <c r="G52" s="14">
        <v>52.17503679</v>
      </c>
      <c r="H52" s="16">
        <v>2.1192339599999999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(2288/B53*100)</f>
        <v>82.898550724637673</v>
      </c>
      <c r="D53" s="15">
        <v>472</v>
      </c>
      <c r="E53" s="14">
        <v>51.35218295</v>
      </c>
      <c r="F53" s="16">
        <v>2.6612288799999999</v>
      </c>
      <c r="G53" s="14">
        <v>48.64781705</v>
      </c>
      <c r="H53" s="16">
        <v>2.6612288799999999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(2215/B56*100)</f>
        <v>82.803738317757009</v>
      </c>
      <c r="D56" s="15">
        <v>460</v>
      </c>
      <c r="E56" s="14">
        <v>26.997406219999998</v>
      </c>
      <c r="F56" s="16">
        <v>2.6953603899999998</v>
      </c>
      <c r="G56" s="14">
        <v>73.002593779999998</v>
      </c>
      <c r="H56" s="16">
        <v>2.6953603899999998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55.366508719999999</v>
      </c>
      <c r="F61" s="16">
        <v>2.0599054699999999</v>
      </c>
      <c r="G61" s="14">
        <v>44.633491280000001</v>
      </c>
      <c r="H61" s="16">
        <v>2.0599054699999999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(1840/B62*100)</f>
        <v>82.511210762331842</v>
      </c>
      <c r="D62" s="15">
        <v>390</v>
      </c>
      <c r="E62" s="14">
        <v>31.007278729999999</v>
      </c>
      <c r="F62" s="16">
        <v>2.6223569699999998</v>
      </c>
      <c r="G62" s="14">
        <v>68.992721270000004</v>
      </c>
      <c r="H62" s="16">
        <v>2.6223569699999998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69.257869490000004</v>
      </c>
      <c r="F66" s="16">
        <v>2.1756698600000002</v>
      </c>
      <c r="G66" s="14">
        <v>30.742130509999999</v>
      </c>
      <c r="H66" s="16">
        <v>2.1756698600000002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(2945/B67*100)</f>
        <v>85.115606936416185</v>
      </c>
      <c r="D67" s="15">
        <v>515</v>
      </c>
      <c r="E67" s="14">
        <v>63.714610960000002</v>
      </c>
      <c r="F67" s="16">
        <v>2.2347601400000001</v>
      </c>
      <c r="G67" s="14">
        <v>36.285389039999998</v>
      </c>
      <c r="H67" s="16">
        <v>2.2347601400000001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(2573/B70*100)</f>
        <v>82.813002896684907</v>
      </c>
      <c r="D70" s="15">
        <v>534</v>
      </c>
      <c r="E70" s="14">
        <v>42.215306589999997</v>
      </c>
      <c r="F70" s="16">
        <v>2.9514743999999999</v>
      </c>
      <c r="G70" s="14">
        <v>57.784693410000003</v>
      </c>
      <c r="H70" s="16">
        <v>2.9514743999999999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33.792207019999999</v>
      </c>
      <c r="F72" s="16">
        <v>1.92854901</v>
      </c>
      <c r="G72" s="14">
        <v>66.207792979999994</v>
      </c>
      <c r="H72" s="16">
        <v>1.92854901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52.077331049999998</v>
      </c>
      <c r="F73" s="16">
        <v>2.5443263300000001</v>
      </c>
      <c r="G73" s="14">
        <v>47.922668950000002</v>
      </c>
      <c r="H73" s="16">
        <v>2.5443263300000001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(2509/B75*100)</f>
        <v>84.506567867969011</v>
      </c>
      <c r="D75" s="15">
        <v>460</v>
      </c>
      <c r="E75" s="14">
        <v>75.803866670000005</v>
      </c>
      <c r="F75" s="16">
        <v>2.0991209300000002</v>
      </c>
      <c r="G75" s="14">
        <v>24.196133329999999</v>
      </c>
      <c r="H75" s="16">
        <v>2.0991209300000002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(5896/B76*100)</f>
        <v>82.867182009838373</v>
      </c>
      <c r="D76" s="15">
        <v>1219</v>
      </c>
      <c r="E76" s="14">
        <v>58.227078130000002</v>
      </c>
      <c r="F76" s="16">
        <v>1.69632049</v>
      </c>
      <c r="G76" s="14">
        <v>41.772921869999998</v>
      </c>
      <c r="H76" s="16">
        <v>1.69632049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(2609/B77*100)</f>
        <v>82.720355104629036</v>
      </c>
      <c r="D77" s="15">
        <v>545</v>
      </c>
      <c r="E77" s="14">
        <v>52.911480189999999</v>
      </c>
      <c r="F77" s="16">
        <v>2.35672901</v>
      </c>
      <c r="G77" s="14">
        <v>47.088519810000001</v>
      </c>
      <c r="H77" s="16">
        <v>2.35672901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(3903/B81*100)</f>
        <v>83.077905491698601</v>
      </c>
      <c r="D81" s="15">
        <v>795</v>
      </c>
      <c r="E81" s="14">
        <v>49.252552790000003</v>
      </c>
      <c r="F81" s="16">
        <v>2.0058244699999999</v>
      </c>
      <c r="G81" s="14">
        <v>50.747447209999997</v>
      </c>
      <c r="H81" s="16">
        <v>2.0058244699999999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(5985/B7*100)</f>
        <v>83.554376657824932</v>
      </c>
      <c r="D7" s="15">
        <v>1178</v>
      </c>
      <c r="E7" s="14">
        <v>5.5273981699999997</v>
      </c>
      <c r="F7" s="16">
        <v>0.81098303000000005</v>
      </c>
      <c r="G7" s="14">
        <v>94.472601830000002</v>
      </c>
      <c r="H7" s="16">
        <v>0.81098303000000005</v>
      </c>
      <c r="I7" s="14" t="s">
        <v>139</v>
      </c>
      <c r="J7" s="16" t="s">
        <v>139</v>
      </c>
      <c r="K7" s="14">
        <v>0</v>
      </c>
      <c r="L7" s="16">
        <v>0</v>
      </c>
      <c r="M7" s="14">
        <v>0</v>
      </c>
      <c r="N7" s="16">
        <v>0</v>
      </c>
      <c r="O7" s="14">
        <v>0</v>
      </c>
      <c r="P7" s="16">
        <v>0</v>
      </c>
      <c r="Q7" s="14">
        <v>0</v>
      </c>
      <c r="R7" s="16">
        <v>0</v>
      </c>
    </row>
    <row r="8" spans="1:18" x14ac:dyDescent="0.25">
      <c r="A8" s="11" t="s">
        <v>140</v>
      </c>
      <c r="B8" s="13">
        <v>3443</v>
      </c>
      <c r="C8" s="14">
        <f>(2871/B8*100)</f>
        <v>83.386581469648561</v>
      </c>
      <c r="D8" s="15">
        <v>572</v>
      </c>
      <c r="E8" s="14">
        <v>5.9987077400000004</v>
      </c>
      <c r="F8" s="16">
        <v>0.98679956999999996</v>
      </c>
      <c r="G8" s="14">
        <v>94.00129226</v>
      </c>
      <c r="H8" s="16">
        <v>0.98679956999999996</v>
      </c>
      <c r="I8" s="14" t="s">
        <v>139</v>
      </c>
      <c r="J8" s="16" t="s">
        <v>139</v>
      </c>
      <c r="K8" s="14">
        <v>0</v>
      </c>
      <c r="L8" s="16">
        <v>0</v>
      </c>
      <c r="M8" s="14">
        <v>0</v>
      </c>
      <c r="N8" s="16">
        <v>0</v>
      </c>
      <c r="O8" s="14">
        <v>0</v>
      </c>
      <c r="P8" s="16">
        <v>0</v>
      </c>
      <c r="Q8" s="14">
        <v>0</v>
      </c>
      <c r="R8" s="16">
        <v>0</v>
      </c>
    </row>
    <row r="9" spans="1:18" x14ac:dyDescent="0.25">
      <c r="A9" s="11" t="s">
        <v>141</v>
      </c>
      <c r="B9" s="13">
        <v>4752</v>
      </c>
      <c r="C9" s="14">
        <f>(3973/B9*100)</f>
        <v>83.606902356902353</v>
      </c>
      <c r="D9" s="15">
        <v>779</v>
      </c>
      <c r="E9" s="14">
        <v>9.1661222999999996</v>
      </c>
      <c r="F9" s="16">
        <v>0.99286578000000003</v>
      </c>
      <c r="G9" s="14">
        <v>90.833877700000002</v>
      </c>
      <c r="H9" s="16">
        <v>0.99286578000000003</v>
      </c>
      <c r="I9" s="14" t="s">
        <v>139</v>
      </c>
      <c r="J9" s="16" t="s">
        <v>139</v>
      </c>
      <c r="K9" s="14">
        <v>0</v>
      </c>
      <c r="L9" s="16">
        <v>0</v>
      </c>
      <c r="M9" s="14">
        <v>0</v>
      </c>
      <c r="N9" s="16">
        <v>0</v>
      </c>
      <c r="O9" s="14">
        <v>0</v>
      </c>
      <c r="P9" s="16">
        <v>0</v>
      </c>
      <c r="Q9" s="14">
        <v>0</v>
      </c>
      <c r="R9" s="16">
        <v>0</v>
      </c>
    </row>
    <row r="10" spans="1:18" x14ac:dyDescent="0.25">
      <c r="A10" s="11" t="s">
        <v>142</v>
      </c>
      <c r="B10" s="13">
        <v>10022</v>
      </c>
      <c r="C10" s="14">
        <f>(8325/B10*100)</f>
        <v>83.067252045499899</v>
      </c>
      <c r="D10" s="15">
        <v>1697</v>
      </c>
      <c r="E10" s="14">
        <v>5.0567083899999998</v>
      </c>
      <c r="F10" s="16">
        <v>0.75932306000000005</v>
      </c>
      <c r="G10" s="14">
        <v>94.943291610000003</v>
      </c>
      <c r="H10" s="16">
        <v>0.75932306000000005</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(2937/B11*100)</f>
        <v>83.914285714285725</v>
      </c>
      <c r="D11" s="15">
        <v>563</v>
      </c>
      <c r="E11" s="14">
        <v>16.038848250000001</v>
      </c>
      <c r="F11" s="16">
        <v>1.5978391199999999</v>
      </c>
      <c r="G11" s="14">
        <v>83.961151749999999</v>
      </c>
      <c r="H11" s="16">
        <v>1.5978391199999999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(2840/B12*100)</f>
        <v>82.99240210403272</v>
      </c>
      <c r="D12" s="15">
        <v>582</v>
      </c>
      <c r="E12" s="14">
        <v>7.5462396600000003</v>
      </c>
      <c r="F12" s="16">
        <v>1.4421042500000001</v>
      </c>
      <c r="G12" s="14">
        <v>92.453760340000002</v>
      </c>
      <c r="H12" s="16">
        <v>1.4421042500000001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(3022/B13*100)</f>
        <v>83.897834536368691</v>
      </c>
      <c r="D13" s="15">
        <v>580</v>
      </c>
      <c r="E13" s="14">
        <v>7.7140905200000001</v>
      </c>
      <c r="F13" s="16">
        <v>1.36029534</v>
      </c>
      <c r="G13" s="14">
        <v>92.285909480000001</v>
      </c>
      <c r="H13" s="16">
        <v>1.36029534</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12.46818721</v>
      </c>
      <c r="F14" s="16">
        <v>1.80648626</v>
      </c>
      <c r="G14" s="14">
        <v>87.531812790000004</v>
      </c>
      <c r="H14" s="16">
        <v>1.80648626</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(2377/B15*100)</f>
        <v>83.024799161718477</v>
      </c>
      <c r="D15" s="15">
        <v>486</v>
      </c>
      <c r="E15" s="14">
        <v>6.6433230999999999</v>
      </c>
      <c r="F15" s="16">
        <v>1.18371888</v>
      </c>
      <c r="G15" s="14">
        <v>93.356676899999997</v>
      </c>
      <c r="H15" s="16">
        <v>1.18371888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(2575/B16*100)</f>
        <v>82.770813243330124</v>
      </c>
      <c r="D16" s="15">
        <v>536</v>
      </c>
      <c r="E16" s="14">
        <v>12.44152598</v>
      </c>
      <c r="F16" s="16">
        <v>1.51707075</v>
      </c>
      <c r="G16" s="14">
        <v>87.558474020000006</v>
      </c>
      <c r="H16" s="16">
        <v>1.51707075</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(2651/B17*100)</f>
        <v>82.921488895839843</v>
      </c>
      <c r="D17" s="15">
        <v>546</v>
      </c>
      <c r="E17" s="14">
        <v>5.8668238199999996</v>
      </c>
      <c r="F17" s="16">
        <v>1.10233151</v>
      </c>
      <c r="G17" s="14">
        <v>94.133176180000007</v>
      </c>
      <c r="H17" s="16">
        <v>1.10233151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(2284/B18*100)</f>
        <v>84.405025868440504</v>
      </c>
      <c r="D18" s="15">
        <v>422</v>
      </c>
      <c r="E18" s="14">
        <v>11.819068939999999</v>
      </c>
      <c r="F18" s="16">
        <v>1.51118073</v>
      </c>
      <c r="G18" s="14">
        <v>88.180931060000006</v>
      </c>
      <c r="H18" s="16">
        <v>1.51118073</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(2375/B19*100)</f>
        <v>83.333333333333343</v>
      </c>
      <c r="D19" s="15">
        <v>475</v>
      </c>
      <c r="E19" s="14">
        <v>8.96126617</v>
      </c>
      <c r="F19" s="16">
        <v>1.25306797</v>
      </c>
      <c r="G19" s="14">
        <v>91.038733829999998</v>
      </c>
      <c r="H19" s="16">
        <v>1.25306797</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(1463/B20*100)</f>
        <v>84.032165422171161</v>
      </c>
      <c r="D20" s="15">
        <v>278</v>
      </c>
      <c r="E20" s="14">
        <v>9.5987803199999995</v>
      </c>
      <c r="F20" s="16">
        <v>1.97275804</v>
      </c>
      <c r="G20" s="14">
        <v>90.401219679999997</v>
      </c>
      <c r="H20" s="16">
        <v>1.97275804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(3127/B22*100)</f>
        <v>85.274065994000551</v>
      </c>
      <c r="D22" s="15">
        <v>540</v>
      </c>
      <c r="E22" s="14">
        <v>14.433737750000001</v>
      </c>
      <c r="F22" s="16">
        <v>1.9686161200000001</v>
      </c>
      <c r="G22" s="14">
        <v>85.566262249999994</v>
      </c>
      <c r="H22" s="16">
        <v>1.9686161200000001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(4825/B23*100)</f>
        <v>83.304558011049721</v>
      </c>
      <c r="D23" s="15">
        <v>967</v>
      </c>
      <c r="E23" s="14">
        <v>12.70225615</v>
      </c>
      <c r="F23" s="16">
        <v>1.5528640600000001</v>
      </c>
      <c r="G23" s="14">
        <v>87.297743850000003</v>
      </c>
      <c r="H23" s="16">
        <v>1.5528640600000001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(2719/B24*100)</f>
        <v>82.169839830764573</v>
      </c>
      <c r="D24" s="15">
        <v>590</v>
      </c>
      <c r="E24" s="14">
        <v>11.97714773</v>
      </c>
      <c r="F24" s="16">
        <v>1.40070329</v>
      </c>
      <c r="G24" s="14">
        <v>88.022852270000001</v>
      </c>
      <c r="H24" s="16">
        <v>1.40070329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14.87848945</v>
      </c>
      <c r="F25" s="16">
        <v>1.6534609300000001</v>
      </c>
      <c r="G25" s="14">
        <v>85.121510549999996</v>
      </c>
      <c r="H25" s="16">
        <v>1.6534609300000001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(2003/B26*100)</f>
        <v>82.802811078958243</v>
      </c>
      <c r="D26" s="15">
        <v>416</v>
      </c>
      <c r="E26" s="14">
        <v>14.8780936</v>
      </c>
      <c r="F26" s="16">
        <v>1.8156648799999999</v>
      </c>
      <c r="G26" s="14">
        <v>85.1219064</v>
      </c>
      <c r="H26" s="16">
        <v>1.8156648799999999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(2241/B27*100)</f>
        <v>83.52590383898621</v>
      </c>
      <c r="D27" s="15">
        <v>442</v>
      </c>
      <c r="E27" s="14">
        <v>7.8039610899999996</v>
      </c>
      <c r="F27" s="16">
        <v>1.1796851800000001</v>
      </c>
      <c r="G27" s="14">
        <v>92.196038909999999</v>
      </c>
      <c r="H27" s="16">
        <v>1.1796851800000001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(3194/B28*100)</f>
        <v>83.986326584275574</v>
      </c>
      <c r="D28" s="15">
        <v>609</v>
      </c>
      <c r="E28" s="14">
        <v>15.022109390000001</v>
      </c>
      <c r="F28" s="16">
        <v>1.4819430899999999</v>
      </c>
      <c r="G28" s="14">
        <v>84.977890610000003</v>
      </c>
      <c r="H28" s="16">
        <v>1.4819430899999999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7.09666379</v>
      </c>
      <c r="F29" s="16">
        <v>1.3264011899999999</v>
      </c>
      <c r="G29" s="14">
        <v>92.903336210000006</v>
      </c>
      <c r="H29" s="16">
        <v>1.3264011899999999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(1892/B30*100)</f>
        <v>83.828090385467434</v>
      </c>
      <c r="D30" s="15">
        <v>365</v>
      </c>
      <c r="E30" s="14">
        <v>5.97697156</v>
      </c>
      <c r="F30" s="16">
        <v>1.2046629900000001</v>
      </c>
      <c r="G30" s="14">
        <v>94.023028440000004</v>
      </c>
      <c r="H30" s="16">
        <v>1.2046629900000001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(2227/B31*100)</f>
        <v>82.298595713229858</v>
      </c>
      <c r="D31" s="15">
        <v>479</v>
      </c>
      <c r="E31" s="14">
        <v>13.663516059999999</v>
      </c>
      <c r="F31" s="16">
        <v>1.6308839799999999</v>
      </c>
      <c r="G31" s="14">
        <v>86.336483939999994</v>
      </c>
      <c r="H31" s="16">
        <v>1.6308839799999999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7.5180200399999997</v>
      </c>
      <c r="F33" s="16">
        <v>1.2754443099999999</v>
      </c>
      <c r="G33" s="14">
        <v>92.481979960000004</v>
      </c>
      <c r="H33" s="16">
        <v>1.2754443099999999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(2572/B34*100)</f>
        <v>84.744645799011536</v>
      </c>
      <c r="D34" s="15">
        <v>463</v>
      </c>
      <c r="E34" s="14">
        <v>14.21578487</v>
      </c>
      <c r="F34" s="16">
        <v>1.4318564300000001</v>
      </c>
      <c r="G34" s="14">
        <v>85.784215130000007</v>
      </c>
      <c r="H34" s="16">
        <v>1.4318564300000001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(2417/B35*100)</f>
        <v>83.316097897276791</v>
      </c>
      <c r="D35" s="15">
        <v>484</v>
      </c>
      <c r="E35" s="14">
        <v>9.8248570300000004</v>
      </c>
      <c r="F35" s="16">
        <v>1.6072855100000001</v>
      </c>
      <c r="G35" s="14">
        <v>90.175142969999996</v>
      </c>
      <c r="H35" s="16">
        <v>1.6072855100000001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11.381532269999999</v>
      </c>
      <c r="F36" s="16">
        <v>1.45051489</v>
      </c>
      <c r="G36" s="14">
        <v>88.618467730000006</v>
      </c>
      <c r="H36" s="16">
        <v>1.45051489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(2287/B37*100)</f>
        <v>83.742218967411205</v>
      </c>
      <c r="D37" s="15">
        <v>444</v>
      </c>
      <c r="E37" s="14">
        <v>9.8464066700000004</v>
      </c>
      <c r="F37" s="16">
        <v>1.41546233</v>
      </c>
      <c r="G37" s="14">
        <v>90.153593330000007</v>
      </c>
      <c r="H37" s="16">
        <v>1.41546233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11.68019589</v>
      </c>
      <c r="F39" s="16">
        <v>1.6525479300000001</v>
      </c>
      <c r="G39" s="14">
        <v>88.319804110000007</v>
      </c>
      <c r="H39" s="16">
        <v>1.6525479300000001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(5711/B40*100)</f>
        <v>82.50505634209766</v>
      </c>
      <c r="D40" s="15">
        <v>1211</v>
      </c>
      <c r="E40" s="14">
        <v>8.1469641199999998</v>
      </c>
      <c r="F40" s="16">
        <v>1.2320144399999999</v>
      </c>
      <c r="G40" s="14">
        <v>91.853035879999993</v>
      </c>
      <c r="H40" s="16">
        <v>1.2320144399999999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(2392/B41*100)</f>
        <v>83.812193412754027</v>
      </c>
      <c r="D41" s="15">
        <v>462</v>
      </c>
      <c r="E41" s="14">
        <v>5.3570497599999998</v>
      </c>
      <c r="F41" s="16">
        <v>1.0454112900000001</v>
      </c>
      <c r="G41" s="14">
        <v>94.642950240000005</v>
      </c>
      <c r="H41" s="16">
        <v>1.0454112900000001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83.358504234266036</v>
      </c>
      <c r="D42" s="15">
        <f>IF(COUNT(D7:D41) &gt; 0, AVERAGE(D7:D41), "—")</f>
        <v>602.21875</v>
      </c>
      <c r="E42" s="14">
        <f>IF(COUNT(E7:E41) &gt; 0, AVERAGE(E7:E41), "—")</f>
        <v>10.039088993437501</v>
      </c>
      <c r="F42" s="16">
        <f>IF(COUNT(F7:F41) &gt; 0, SQRT(SUMSQ(F7:F41)/(COUNT(F7:F41)*COUNT(F7:F41)) ), "—")</f>
        <v>0.25204412505847268</v>
      </c>
      <c r="G42" s="14">
        <f>IF(COUNT(G7:G41) &gt; 0, AVERAGE(G7:G41), "—")</f>
        <v>89.960911006562483</v>
      </c>
      <c r="H42" s="16">
        <f>IF(COUNT(H7:H41) &gt; 0, SQRT(SUMSQ(H7:H41)/(COUNT(H7:H41)*COUNT(H7:H41)) ), "—")</f>
        <v>0.25204412505847268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(10450/B46*100)</f>
        <v>86.556779590822501</v>
      </c>
      <c r="D46" s="15">
        <v>1623</v>
      </c>
      <c r="E46" s="14">
        <v>17.43897329</v>
      </c>
      <c r="F46" s="16">
        <v>1.2635672499999999</v>
      </c>
      <c r="G46" s="14">
        <v>82.561026709999993</v>
      </c>
      <c r="H46" s="16">
        <v>1.2635672499999999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(2347/B47*100)</f>
        <v>83.138505136379734</v>
      </c>
      <c r="D47" s="15">
        <v>476</v>
      </c>
      <c r="E47" s="14">
        <v>11.41126182</v>
      </c>
      <c r="F47" s="16">
        <v>1.6378425299999999</v>
      </c>
      <c r="G47" s="14">
        <v>88.588738180000007</v>
      </c>
      <c r="H47" s="16">
        <v>1.6378425299999999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(3885/B48*100)</f>
        <v>82.977360102520294</v>
      </c>
      <c r="D48" s="15">
        <v>797</v>
      </c>
      <c r="E48" s="14">
        <v>31.108900219999999</v>
      </c>
      <c r="F48" s="16">
        <v>2.1064185599999998</v>
      </c>
      <c r="G48" s="14">
        <v>68.891099780000005</v>
      </c>
      <c r="H48" s="16">
        <v>2.1064185599999998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(5172/B50*100)</f>
        <v>83.988307892172784</v>
      </c>
      <c r="D50" s="15">
        <v>986</v>
      </c>
      <c r="E50" s="14">
        <v>18.56937374</v>
      </c>
      <c r="F50" s="16">
        <v>1.75330422</v>
      </c>
      <c r="G50" s="14">
        <v>81.430626259999997</v>
      </c>
      <c r="H50" s="16">
        <v>1.75330422</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(2986/B51*100)</f>
        <v>85.460789925586724</v>
      </c>
      <c r="D51" s="15">
        <v>508</v>
      </c>
      <c r="E51" s="14">
        <v>15.96294539</v>
      </c>
      <c r="F51" s="16">
        <v>1.73329489</v>
      </c>
      <c r="G51" s="14">
        <v>84.037054609999998</v>
      </c>
      <c r="H51" s="16">
        <v>1.73329489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(2484/B52*100)</f>
        <v>82.44274809160305</v>
      </c>
      <c r="D52" s="15">
        <v>529</v>
      </c>
      <c r="E52" s="14">
        <v>16.114222290000001</v>
      </c>
      <c r="F52" s="16">
        <v>1.4488971500000001</v>
      </c>
      <c r="G52" s="14">
        <v>83.885777709999999</v>
      </c>
      <c r="H52" s="16">
        <v>1.4488971500000001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(2295/B53*100)</f>
        <v>83.152173913043484</v>
      </c>
      <c r="D53" s="15">
        <v>465</v>
      </c>
      <c r="E53" s="14">
        <v>15.03451551</v>
      </c>
      <c r="F53" s="16">
        <v>1.7342466000000001</v>
      </c>
      <c r="G53" s="14">
        <v>84.965484489999994</v>
      </c>
      <c r="H53" s="16">
        <v>1.7342466000000001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9.6549425000000006</v>
      </c>
      <c r="F56" s="16">
        <v>1.5821068700000001</v>
      </c>
      <c r="G56" s="14">
        <v>90.345057499999996</v>
      </c>
      <c r="H56" s="16">
        <v>1.5821068700000001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(2649/B61*100)</f>
        <v>82.755388940955953</v>
      </c>
      <c r="D61" s="15">
        <v>552</v>
      </c>
      <c r="E61" s="14">
        <v>10.434723119999999</v>
      </c>
      <c r="F61" s="16">
        <v>1.31127869</v>
      </c>
      <c r="G61" s="14">
        <v>89.565276879999999</v>
      </c>
      <c r="H61" s="16">
        <v>1.31127869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(1851/B62*100)</f>
        <v>83.004484304932731</v>
      </c>
      <c r="D62" s="15">
        <v>379</v>
      </c>
      <c r="E62" s="14">
        <v>6.8712708300000003</v>
      </c>
      <c r="F62" s="16">
        <v>1.2689322999999999</v>
      </c>
      <c r="G62" s="14">
        <v>93.12872917</v>
      </c>
      <c r="H62" s="16">
        <v>1.2689322999999999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(2312/B66*100)</f>
        <v>83.435582822085891</v>
      </c>
      <c r="D66" s="15">
        <v>459</v>
      </c>
      <c r="E66" s="14">
        <v>16.504227539999999</v>
      </c>
      <c r="F66" s="16">
        <v>1.8983538200000001</v>
      </c>
      <c r="G66" s="14">
        <v>83.495772459999998</v>
      </c>
      <c r="H66" s="16">
        <v>1.8983538200000001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(2988/B67*100)</f>
        <v>86.358381502890168</v>
      </c>
      <c r="D67" s="15">
        <v>472</v>
      </c>
      <c r="E67" s="14">
        <v>25.829090860000001</v>
      </c>
      <c r="F67" s="16">
        <v>2.13281265</v>
      </c>
      <c r="G67" s="14">
        <v>74.170909140000006</v>
      </c>
      <c r="H67" s="16">
        <v>2.13281265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(2589/B70*100)</f>
        <v>83.32796910202768</v>
      </c>
      <c r="D70" s="15">
        <v>518</v>
      </c>
      <c r="E70" s="14">
        <v>12.53276151</v>
      </c>
      <c r="F70" s="16">
        <v>1.7316999399999999</v>
      </c>
      <c r="G70" s="14">
        <v>87.46723849</v>
      </c>
      <c r="H70" s="16">
        <v>1.7316999399999999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7.5185215400000001</v>
      </c>
      <c r="F72" s="16">
        <v>1.00806237</v>
      </c>
      <c r="G72" s="14">
        <v>92.481478460000005</v>
      </c>
      <c r="H72" s="16">
        <v>1.00806237</v>
      </c>
      <c r="I72" s="14" t="s">
        <v>139</v>
      </c>
      <c r="J72" s="16" t="s">
        <v>139</v>
      </c>
      <c r="K72" s="14">
        <v>0</v>
      </c>
      <c r="L72" s="16">
        <v>0</v>
      </c>
      <c r="M72" s="14">
        <v>0</v>
      </c>
      <c r="N72" s="16">
        <v>0</v>
      </c>
      <c r="O72" s="14">
        <v>0</v>
      </c>
      <c r="P72" s="16">
        <v>0</v>
      </c>
      <c r="Q72" s="14">
        <v>0</v>
      </c>
      <c r="R72" s="16">
        <v>0</v>
      </c>
    </row>
    <row r="73" spans="1:18" x14ac:dyDescent="0.25">
      <c r="A73" s="11" t="s">
        <v>206</v>
      </c>
      <c r="B73" s="13">
        <v>4652</v>
      </c>
      <c r="C73" s="14">
        <f>(3910/B73*100)</f>
        <v>84.049871023215815</v>
      </c>
      <c r="D73" s="15">
        <v>742</v>
      </c>
      <c r="E73" s="14">
        <v>12.07721811</v>
      </c>
      <c r="F73" s="16">
        <v>1.37196458</v>
      </c>
      <c r="G73" s="14">
        <v>87.922781889999996</v>
      </c>
      <c r="H73" s="16">
        <v>1.37196458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27.195726400000002</v>
      </c>
      <c r="F75" s="16">
        <v>1.8710423</v>
      </c>
      <c r="G75" s="14">
        <v>72.804273600000002</v>
      </c>
      <c r="H75" s="16">
        <v>1.8710423</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(5901/B76*100)</f>
        <v>82.937456078706958</v>
      </c>
      <c r="D76" s="15">
        <v>1214</v>
      </c>
      <c r="E76" s="14">
        <v>19.72728906</v>
      </c>
      <c r="F76" s="16">
        <v>1.4049945800000001</v>
      </c>
      <c r="G76" s="14">
        <v>80.272710939999996</v>
      </c>
      <c r="H76" s="16">
        <v>1.4049945800000001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(2634/B77*100)</f>
        <v>83.512999365884582</v>
      </c>
      <c r="D77" s="15">
        <v>520</v>
      </c>
      <c r="E77" s="14">
        <v>22.29578673</v>
      </c>
      <c r="F77" s="16">
        <v>1.9037695800000001</v>
      </c>
      <c r="G77" s="14">
        <v>77.704213269999997</v>
      </c>
      <c r="H77" s="16">
        <v>1.9037695800000001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(4520/B81*100)</f>
        <v>96.211153682418043</v>
      </c>
      <c r="D81" s="15">
        <v>178</v>
      </c>
      <c r="E81" s="14">
        <v>13.41520953</v>
      </c>
      <c r="F81" s="16">
        <v>2.7788256499999999</v>
      </c>
      <c r="G81" s="14">
        <v>86.584790470000002</v>
      </c>
      <c r="H81" s="16">
        <v>2.7788256499999999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(5985/B7*100)</f>
        <v>83.554376657824932</v>
      </c>
      <c r="D7" s="15">
        <v>1178</v>
      </c>
      <c r="E7" s="14">
        <v>43.728861219999999</v>
      </c>
      <c r="F7" s="16">
        <v>1.6280637200000001</v>
      </c>
      <c r="G7" s="14">
        <v>56.271138780000001</v>
      </c>
      <c r="H7" s="16">
        <v>1.6280637200000001</v>
      </c>
      <c r="I7" s="14" t="s">
        <v>139</v>
      </c>
      <c r="J7" s="16" t="s">
        <v>139</v>
      </c>
      <c r="K7" s="14">
        <v>0</v>
      </c>
      <c r="L7" s="16">
        <v>0</v>
      </c>
      <c r="M7" s="14">
        <v>0</v>
      </c>
      <c r="N7" s="16">
        <v>0</v>
      </c>
      <c r="O7" s="14">
        <v>0</v>
      </c>
      <c r="P7" s="16">
        <v>0</v>
      </c>
      <c r="Q7" s="14">
        <v>0</v>
      </c>
      <c r="R7" s="16">
        <v>0</v>
      </c>
    </row>
    <row r="8" spans="1:18" x14ac:dyDescent="0.25">
      <c r="A8" s="11" t="s">
        <v>140</v>
      </c>
      <c r="B8" s="13">
        <v>3443</v>
      </c>
      <c r="C8" s="14">
        <f>(2871/B8*100)</f>
        <v>83.386581469648561</v>
      </c>
      <c r="D8" s="15">
        <v>572</v>
      </c>
      <c r="E8" s="14">
        <v>83.231361559999996</v>
      </c>
      <c r="F8" s="16">
        <v>1.6168345</v>
      </c>
      <c r="G8" s="14">
        <v>16.76863844</v>
      </c>
      <c r="H8" s="16">
        <v>1.6168345</v>
      </c>
      <c r="I8" s="14" t="s">
        <v>139</v>
      </c>
      <c r="J8" s="16" t="s">
        <v>139</v>
      </c>
      <c r="K8" s="14">
        <v>0</v>
      </c>
      <c r="L8" s="16">
        <v>0</v>
      </c>
      <c r="M8" s="14">
        <v>0</v>
      </c>
      <c r="N8" s="16">
        <v>0</v>
      </c>
      <c r="O8" s="14">
        <v>0</v>
      </c>
      <c r="P8" s="16">
        <v>0</v>
      </c>
      <c r="Q8" s="14">
        <v>0</v>
      </c>
      <c r="R8" s="16">
        <v>0</v>
      </c>
    </row>
    <row r="9" spans="1:18" x14ac:dyDescent="0.25">
      <c r="A9" s="11" t="s">
        <v>141</v>
      </c>
      <c r="B9" s="13">
        <v>4752</v>
      </c>
      <c r="C9" s="14">
        <f>(3973/B9*100)</f>
        <v>83.606902356902353</v>
      </c>
      <c r="D9" s="15">
        <v>779</v>
      </c>
      <c r="E9" s="14">
        <v>71.886564500000006</v>
      </c>
      <c r="F9" s="16">
        <v>1.54444531</v>
      </c>
      <c r="G9" s="14">
        <v>28.113435500000001</v>
      </c>
      <c r="H9" s="16">
        <v>1.54444531</v>
      </c>
      <c r="I9" s="14" t="s">
        <v>139</v>
      </c>
      <c r="J9" s="16" t="s">
        <v>139</v>
      </c>
      <c r="K9" s="14">
        <v>0</v>
      </c>
      <c r="L9" s="16">
        <v>0</v>
      </c>
      <c r="M9" s="14">
        <v>0</v>
      </c>
      <c r="N9" s="16">
        <v>0</v>
      </c>
      <c r="O9" s="14">
        <v>0</v>
      </c>
      <c r="P9" s="16">
        <v>0</v>
      </c>
      <c r="Q9" s="14">
        <v>0</v>
      </c>
      <c r="R9" s="16">
        <v>0</v>
      </c>
    </row>
    <row r="10" spans="1:18" x14ac:dyDescent="0.25">
      <c r="A10" s="11" t="s">
        <v>142</v>
      </c>
      <c r="B10" s="13">
        <v>10022</v>
      </c>
      <c r="C10" s="14">
        <f>(8325/B10*100)</f>
        <v>83.067252045499899</v>
      </c>
      <c r="D10" s="15">
        <v>1697</v>
      </c>
      <c r="E10" s="14">
        <v>42.856961939999998</v>
      </c>
      <c r="F10" s="16">
        <v>1.80546585</v>
      </c>
      <c r="G10" s="14">
        <v>57.143038060000002</v>
      </c>
      <c r="H10" s="16">
        <v>1.80546585</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(2937/B11*100)</f>
        <v>83.914285714285725</v>
      </c>
      <c r="D11" s="15">
        <v>563</v>
      </c>
      <c r="E11" s="14">
        <v>86.480648040000005</v>
      </c>
      <c r="F11" s="16">
        <v>1.8919563800000001</v>
      </c>
      <c r="G11" s="14">
        <v>13.51935196</v>
      </c>
      <c r="H11" s="16">
        <v>1.8919563800000001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(2840/B12*100)</f>
        <v>82.99240210403272</v>
      </c>
      <c r="D12" s="15">
        <v>582</v>
      </c>
      <c r="E12" s="14">
        <v>70.314353800000006</v>
      </c>
      <c r="F12" s="16">
        <v>2.09778975</v>
      </c>
      <c r="G12" s="14">
        <v>29.685646200000001</v>
      </c>
      <c r="H12" s="16">
        <v>2.09778975</v>
      </c>
      <c r="I12" s="14" t="s">
        <v>139</v>
      </c>
      <c r="J12" s="16" t="s">
        <v>139</v>
      </c>
      <c r="K12" s="14">
        <v>0</v>
      </c>
      <c r="L12" s="16">
        <v>0</v>
      </c>
      <c r="M12" s="14">
        <v>0</v>
      </c>
      <c r="N12" s="16">
        <v>0</v>
      </c>
      <c r="O12" s="14">
        <v>0</v>
      </c>
      <c r="P12" s="16">
        <v>0</v>
      </c>
      <c r="Q12" s="14">
        <v>0</v>
      </c>
      <c r="R12" s="16">
        <v>0</v>
      </c>
    </row>
    <row r="13" spans="1:18" x14ac:dyDescent="0.25">
      <c r="A13" s="11" t="s">
        <v>145</v>
      </c>
      <c r="B13" s="13">
        <v>3602</v>
      </c>
      <c r="C13" s="14">
        <f>(3022/B13*100)</f>
        <v>83.897834536368691</v>
      </c>
      <c r="D13" s="15">
        <v>580</v>
      </c>
      <c r="E13" s="14">
        <v>64.436338629999995</v>
      </c>
      <c r="F13" s="16">
        <v>2.1422878700000001</v>
      </c>
      <c r="G13" s="14">
        <v>35.563661369999998</v>
      </c>
      <c r="H13" s="16">
        <v>2.1422878700000001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69.418057360000006</v>
      </c>
      <c r="F14" s="16">
        <v>2.5179992100000002</v>
      </c>
      <c r="G14" s="14">
        <v>30.581942640000001</v>
      </c>
      <c r="H14" s="16">
        <v>2.5179992100000002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(2377/B15*100)</f>
        <v>83.024799161718477</v>
      </c>
      <c r="D15" s="15">
        <v>486</v>
      </c>
      <c r="E15" s="14">
        <v>62.14586783</v>
      </c>
      <c r="F15" s="16">
        <v>2.1570337099999999</v>
      </c>
      <c r="G15" s="14">
        <v>37.85413217</v>
      </c>
      <c r="H15" s="16">
        <v>2.1570337099999999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(2575/B16*100)</f>
        <v>82.770813243330124</v>
      </c>
      <c r="D16" s="15">
        <v>536</v>
      </c>
      <c r="E16" s="14">
        <v>73.918077850000003</v>
      </c>
      <c r="F16" s="16">
        <v>1.6611142699999999</v>
      </c>
      <c r="G16" s="14">
        <v>26.08192215</v>
      </c>
      <c r="H16" s="16">
        <v>1.6611142699999999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(2651/B17*100)</f>
        <v>82.921488895839843</v>
      </c>
      <c r="D17" s="15">
        <v>546</v>
      </c>
      <c r="E17" s="14">
        <v>72.345723849999999</v>
      </c>
      <c r="F17" s="16">
        <v>2.0429295999999999</v>
      </c>
      <c r="G17" s="14">
        <v>27.654276150000001</v>
      </c>
      <c r="H17" s="16">
        <v>2.0429295999999999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(2284/B18*100)</f>
        <v>84.405025868440504</v>
      </c>
      <c r="D18" s="15">
        <v>422</v>
      </c>
      <c r="E18" s="14">
        <v>76.392764700000001</v>
      </c>
      <c r="F18" s="16">
        <v>1.92699599</v>
      </c>
      <c r="G18" s="14">
        <v>23.607235299999999</v>
      </c>
      <c r="H18" s="16">
        <v>1.92699599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(2375/B19*100)</f>
        <v>83.333333333333343</v>
      </c>
      <c r="D19" s="15">
        <v>475</v>
      </c>
      <c r="E19" s="14">
        <v>68.110192549999994</v>
      </c>
      <c r="F19" s="16">
        <v>2.5935108599999999</v>
      </c>
      <c r="G19" s="14">
        <v>31.889807449999999</v>
      </c>
      <c r="H19" s="16">
        <v>2.5935108599999999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(1463/B20*100)</f>
        <v>84.032165422171161</v>
      </c>
      <c r="D20" s="15">
        <v>278</v>
      </c>
      <c r="E20" s="14">
        <v>66.846230070000004</v>
      </c>
      <c r="F20" s="16">
        <v>2.5878721499999999</v>
      </c>
      <c r="G20" s="14">
        <v>33.153769930000003</v>
      </c>
      <c r="H20" s="16">
        <v>2.5878721499999999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(3127/B22*100)</f>
        <v>85.274065994000551</v>
      </c>
      <c r="D22" s="15">
        <v>540</v>
      </c>
      <c r="E22" s="14">
        <v>59.699202700000001</v>
      </c>
      <c r="F22" s="16">
        <v>2.23380555</v>
      </c>
      <c r="G22" s="14">
        <v>40.300797299999999</v>
      </c>
      <c r="H22" s="16">
        <v>2.23380555</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(4825/B23*100)</f>
        <v>83.304558011049721</v>
      </c>
      <c r="D23" s="15">
        <v>967</v>
      </c>
      <c r="E23" s="14">
        <v>77.602051320000001</v>
      </c>
      <c r="F23" s="16">
        <v>2.0361267500000002</v>
      </c>
      <c r="G23" s="14">
        <v>22.397948679999999</v>
      </c>
      <c r="H23" s="16">
        <v>2.0361267500000002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(2719/B24*100)</f>
        <v>82.169839830764573</v>
      </c>
      <c r="D24" s="15">
        <v>590</v>
      </c>
      <c r="E24" s="14">
        <v>72.596535209999999</v>
      </c>
      <c r="F24" s="16">
        <v>1.6672499199999999</v>
      </c>
      <c r="G24" s="14">
        <v>27.403464790000001</v>
      </c>
      <c r="H24" s="16">
        <v>1.6672499199999999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44.460079460000003</v>
      </c>
      <c r="F25" s="16">
        <v>2.4458408</v>
      </c>
      <c r="G25" s="14">
        <v>55.539920539999997</v>
      </c>
      <c r="H25" s="16">
        <v>2.4458408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(2003/B26*100)</f>
        <v>82.802811078958243</v>
      </c>
      <c r="D26" s="15">
        <v>416</v>
      </c>
      <c r="E26" s="14">
        <v>67.995098159999998</v>
      </c>
      <c r="F26" s="16">
        <v>2.1117753100000001</v>
      </c>
      <c r="G26" s="14">
        <v>32.004901840000002</v>
      </c>
      <c r="H26" s="16">
        <v>2.1117753100000001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(2241/B27*100)</f>
        <v>83.52590383898621</v>
      </c>
      <c r="D27" s="15">
        <v>442</v>
      </c>
      <c r="E27" s="14">
        <v>75.259756249999995</v>
      </c>
      <c r="F27" s="16">
        <v>2.20908054</v>
      </c>
      <c r="G27" s="14">
        <v>24.740243750000001</v>
      </c>
      <c r="H27" s="16">
        <v>2.20908054</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(3194/B28*100)</f>
        <v>83.986326584275574</v>
      </c>
      <c r="D28" s="15">
        <v>609</v>
      </c>
      <c r="E28" s="14">
        <v>76.913444089999999</v>
      </c>
      <c r="F28" s="16">
        <v>2.2804007999999998</v>
      </c>
      <c r="G28" s="14">
        <v>23.086555910000001</v>
      </c>
      <c r="H28" s="16">
        <v>2.2804007999999998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60.871793390000001</v>
      </c>
      <c r="F29" s="16">
        <v>2.4098643100000001</v>
      </c>
      <c r="G29" s="14">
        <v>39.128206609999999</v>
      </c>
      <c r="H29" s="16">
        <v>2.4098643100000001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(1892/B30*100)</f>
        <v>83.828090385467434</v>
      </c>
      <c r="D30" s="15">
        <v>365</v>
      </c>
      <c r="E30" s="14">
        <v>41.87852041</v>
      </c>
      <c r="F30" s="16">
        <v>2.4325501599999999</v>
      </c>
      <c r="G30" s="14">
        <v>58.12147959</v>
      </c>
      <c r="H30" s="16">
        <v>2.4325501599999999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(2227/B31*100)</f>
        <v>82.298595713229858</v>
      </c>
      <c r="D31" s="15">
        <v>479</v>
      </c>
      <c r="E31" s="14">
        <v>56.562806289999997</v>
      </c>
      <c r="F31" s="16">
        <v>2.52724196</v>
      </c>
      <c r="G31" s="14">
        <v>43.437193710000003</v>
      </c>
      <c r="H31" s="16">
        <v>2.52724196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74.932023000000001</v>
      </c>
      <c r="F33" s="16">
        <v>2.2812355599999998</v>
      </c>
      <c r="G33" s="14">
        <v>25.067976999999999</v>
      </c>
      <c r="H33" s="16">
        <v>2.2812355599999998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(2572/B34*100)</f>
        <v>84.744645799011536</v>
      </c>
      <c r="D34" s="15">
        <v>463</v>
      </c>
      <c r="E34" s="14">
        <v>73.939716169999997</v>
      </c>
      <c r="F34" s="16">
        <v>1.6955205099999999</v>
      </c>
      <c r="G34" s="14">
        <v>26.060283829999999</v>
      </c>
      <c r="H34" s="16">
        <v>1.6955205099999999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(2417/B35*100)</f>
        <v>83.316097897276791</v>
      </c>
      <c r="D35" s="15">
        <v>484</v>
      </c>
      <c r="E35" s="14">
        <v>75.158998629999999</v>
      </c>
      <c r="F35" s="16">
        <v>2.5473331899999998</v>
      </c>
      <c r="G35" s="14">
        <v>24.841001370000001</v>
      </c>
      <c r="H35" s="16">
        <v>2.5473331899999998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79.646894369999998</v>
      </c>
      <c r="F36" s="16">
        <v>1.7391665700000001</v>
      </c>
      <c r="G36" s="14">
        <v>20.353105630000002</v>
      </c>
      <c r="H36" s="16">
        <v>1.7391665700000001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(2287/B37*100)</f>
        <v>83.742218967411205</v>
      </c>
      <c r="D37" s="15">
        <v>444</v>
      </c>
      <c r="E37" s="14">
        <v>55.517811860000002</v>
      </c>
      <c r="F37" s="16">
        <v>2.47577113</v>
      </c>
      <c r="G37" s="14">
        <v>44.482188139999998</v>
      </c>
      <c r="H37" s="16">
        <v>2.47577113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81.60549786</v>
      </c>
      <c r="F39" s="16">
        <v>1.49094076</v>
      </c>
      <c r="G39" s="14">
        <v>18.39450214</v>
      </c>
      <c r="H39" s="16">
        <v>1.49094076</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(5711/B40*100)</f>
        <v>82.50505634209766</v>
      </c>
      <c r="D40" s="15">
        <v>1211</v>
      </c>
      <c r="E40" s="14">
        <v>49.927461460000004</v>
      </c>
      <c r="F40" s="16">
        <v>2.1132656500000002</v>
      </c>
      <c r="G40" s="14">
        <v>50.072538539999996</v>
      </c>
      <c r="H40" s="16">
        <v>2.1132656500000002</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(2392/B41*100)</f>
        <v>83.812193412754027</v>
      </c>
      <c r="D41" s="15">
        <v>462</v>
      </c>
      <c r="E41" s="14">
        <v>47.905199500000002</v>
      </c>
      <c r="F41" s="16">
        <v>2.58869295</v>
      </c>
      <c r="G41" s="14">
        <v>52.094800499999998</v>
      </c>
      <c r="H41" s="16">
        <v>2.58869295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83.358504234266036</v>
      </c>
      <c r="D42" s="15">
        <f>IF(COUNT(D7:D41) &gt; 0, AVERAGE(D7:D41), "—")</f>
        <v>602.21875</v>
      </c>
      <c r="E42" s="14">
        <f>IF(COUNT(E7:E41) &gt; 0, AVERAGE(E7:E41), "—")</f>
        <v>66.393277938437507</v>
      </c>
      <c r="F42" s="16">
        <f>IF(COUNT(F7:F41) &gt; 0, SQRT(SUMSQ(F7:F41)/(COUNT(F7:F41)*COUNT(F7:F41)) ), "—")</f>
        <v>0.3778578230630969</v>
      </c>
      <c r="G42" s="14">
        <f>IF(COUNT(G7:G41) &gt; 0, AVERAGE(G7:G41), "—")</f>
        <v>33.6067220615625</v>
      </c>
      <c r="H42" s="16">
        <f>IF(COUNT(H7:H41) &gt; 0, SQRT(SUMSQ(H7:H41)/(COUNT(H7:H41)*COUNT(H7:H41)) ), "—")</f>
        <v>0.3778578230630969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(10450/B46*100)</f>
        <v>86.556779590822501</v>
      </c>
      <c r="D46" s="15">
        <v>1623</v>
      </c>
      <c r="E46" s="14">
        <v>80.418770460000005</v>
      </c>
      <c r="F46" s="16">
        <v>1.32200282</v>
      </c>
      <c r="G46" s="14">
        <v>19.581229539999999</v>
      </c>
      <c r="H46" s="16">
        <v>1.32200282</v>
      </c>
      <c r="I46" s="14" t="s">
        <v>139</v>
      </c>
      <c r="J46" s="16" t="s">
        <v>139</v>
      </c>
      <c r="K46" s="14">
        <v>0</v>
      </c>
      <c r="L46" s="16">
        <v>0</v>
      </c>
      <c r="M46" s="14">
        <v>0</v>
      </c>
      <c r="N46" s="16">
        <v>0</v>
      </c>
      <c r="O46" s="14">
        <v>0</v>
      </c>
      <c r="P46" s="16">
        <v>0</v>
      </c>
      <c r="Q46" s="14">
        <v>0</v>
      </c>
      <c r="R46" s="16">
        <v>0</v>
      </c>
    </row>
    <row r="47" spans="1:18" x14ac:dyDescent="0.25">
      <c r="A47" s="11" t="s">
        <v>180</v>
      </c>
      <c r="B47" s="13">
        <v>2823</v>
      </c>
      <c r="C47" s="14">
        <f>(2347/B47*100)</f>
        <v>83.138505136379734</v>
      </c>
      <c r="D47" s="15">
        <v>476</v>
      </c>
      <c r="E47" s="14">
        <v>76.682370849999998</v>
      </c>
      <c r="F47" s="16">
        <v>1.9216295999999999</v>
      </c>
      <c r="G47" s="14">
        <v>23.317629149999998</v>
      </c>
      <c r="H47" s="16">
        <v>1.9216295999999999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(3885/B48*100)</f>
        <v>82.977360102520294</v>
      </c>
      <c r="D48" s="15">
        <v>797</v>
      </c>
      <c r="E48" s="14">
        <v>56.20559051</v>
      </c>
      <c r="F48" s="16">
        <v>2.7000472900000001</v>
      </c>
      <c r="G48" s="14">
        <v>43.79440949</v>
      </c>
      <c r="H48" s="16">
        <v>2.7000472900000001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(5172/B50*100)</f>
        <v>83.988307892172784</v>
      </c>
      <c r="D50" s="15">
        <v>986</v>
      </c>
      <c r="E50" s="14">
        <v>80.199038180000002</v>
      </c>
      <c r="F50" s="16">
        <v>1.48769131</v>
      </c>
      <c r="G50" s="14">
        <v>19.800961820000001</v>
      </c>
      <c r="H50" s="16">
        <v>1.48769131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(2986/B51*100)</f>
        <v>85.460789925586724</v>
      </c>
      <c r="D51" s="15">
        <v>508</v>
      </c>
      <c r="E51" s="14">
        <v>84.935353590000005</v>
      </c>
      <c r="F51" s="16">
        <v>1.7245275799999999</v>
      </c>
      <c r="G51" s="14">
        <v>15.06464641</v>
      </c>
      <c r="H51" s="16">
        <v>1.7245275799999999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(2484/B52*100)</f>
        <v>82.44274809160305</v>
      </c>
      <c r="D52" s="15">
        <v>529</v>
      </c>
      <c r="E52" s="14">
        <v>77.877917949999997</v>
      </c>
      <c r="F52" s="16">
        <v>2.0925785499999998</v>
      </c>
      <c r="G52" s="14">
        <v>22.122082049999999</v>
      </c>
      <c r="H52" s="16">
        <v>2.0925785499999998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(2295/B53*100)</f>
        <v>83.152173913043484</v>
      </c>
      <c r="D53" s="15">
        <v>465</v>
      </c>
      <c r="E53" s="14">
        <v>68.865096840000007</v>
      </c>
      <c r="F53" s="16">
        <v>1.91829742</v>
      </c>
      <c r="G53" s="14">
        <v>31.13490316</v>
      </c>
      <c r="H53" s="16">
        <v>1.91829742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48.87373607</v>
      </c>
      <c r="F56" s="16">
        <v>2.06414045</v>
      </c>
      <c r="G56" s="14">
        <v>51.12626393</v>
      </c>
      <c r="H56" s="16">
        <v>2.06414045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(2649/B61*100)</f>
        <v>82.755388940955953</v>
      </c>
      <c r="D61" s="15">
        <v>552</v>
      </c>
      <c r="E61" s="14">
        <v>80.385530860000003</v>
      </c>
      <c r="F61" s="16">
        <v>1.8923394200000001</v>
      </c>
      <c r="G61" s="14">
        <v>19.614469140000001</v>
      </c>
      <c r="H61" s="16">
        <v>1.8923394200000001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(1851/B62*100)</f>
        <v>83.004484304932731</v>
      </c>
      <c r="D62" s="15">
        <v>379</v>
      </c>
      <c r="E62" s="14">
        <v>39.539646789999999</v>
      </c>
      <c r="F62" s="16">
        <v>2.5164640199999999</v>
      </c>
      <c r="G62" s="14">
        <v>60.460353210000001</v>
      </c>
      <c r="H62" s="16">
        <v>2.5164640199999999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(2312/B66*100)</f>
        <v>83.435582822085891</v>
      </c>
      <c r="D66" s="15">
        <v>459</v>
      </c>
      <c r="E66" s="14">
        <v>80.966952890000002</v>
      </c>
      <c r="F66" s="16">
        <v>1.75752496</v>
      </c>
      <c r="G66" s="14">
        <v>19.033047109999998</v>
      </c>
      <c r="H66" s="16">
        <v>1.75752496</v>
      </c>
      <c r="I66" s="14" t="s">
        <v>139</v>
      </c>
      <c r="J66" s="16" t="s">
        <v>139</v>
      </c>
      <c r="K66" s="14">
        <v>0</v>
      </c>
      <c r="L66" s="16">
        <v>0</v>
      </c>
      <c r="M66" s="14">
        <v>0</v>
      </c>
      <c r="N66" s="16">
        <v>0</v>
      </c>
      <c r="O66" s="14">
        <v>0</v>
      </c>
      <c r="P66" s="16">
        <v>0</v>
      </c>
      <c r="Q66" s="14">
        <v>0</v>
      </c>
      <c r="R66" s="16">
        <v>0</v>
      </c>
    </row>
    <row r="67" spans="1:18" x14ac:dyDescent="0.25">
      <c r="A67" s="11" t="s">
        <v>200</v>
      </c>
      <c r="B67" s="13">
        <v>3460</v>
      </c>
      <c r="C67" s="14">
        <f>(2988/B67*100)</f>
        <v>86.358381502890168</v>
      </c>
      <c r="D67" s="15">
        <v>472</v>
      </c>
      <c r="E67" s="14">
        <v>79.798156610000007</v>
      </c>
      <c r="F67" s="16">
        <v>1.77848166</v>
      </c>
      <c r="G67" s="14">
        <v>20.201843390000001</v>
      </c>
      <c r="H67" s="16">
        <v>1.77848166</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(2589/B70*100)</f>
        <v>83.32796910202768</v>
      </c>
      <c r="D70" s="15">
        <v>518</v>
      </c>
      <c r="E70" s="14">
        <v>69.523237129999998</v>
      </c>
      <c r="F70" s="16">
        <v>2.1175731</v>
      </c>
      <c r="G70" s="14">
        <v>30.476762870000002</v>
      </c>
      <c r="H70" s="16">
        <v>2.1175731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49.516299259999997</v>
      </c>
      <c r="F72" s="16">
        <v>2.06793643</v>
      </c>
      <c r="G72" s="14">
        <v>50.483700740000003</v>
      </c>
      <c r="H72" s="16">
        <v>2.06793643</v>
      </c>
      <c r="I72" s="14" t="s">
        <v>139</v>
      </c>
      <c r="J72" s="16" t="s">
        <v>139</v>
      </c>
      <c r="K72" s="14">
        <v>0</v>
      </c>
      <c r="L72" s="16">
        <v>0</v>
      </c>
      <c r="M72" s="14">
        <v>0</v>
      </c>
      <c r="N72" s="16">
        <v>0</v>
      </c>
      <c r="O72" s="14">
        <v>0</v>
      </c>
      <c r="P72" s="16">
        <v>0</v>
      </c>
      <c r="Q72" s="14">
        <v>0</v>
      </c>
      <c r="R72" s="16">
        <v>0</v>
      </c>
    </row>
    <row r="73" spans="1:18" x14ac:dyDescent="0.25">
      <c r="A73" s="11" t="s">
        <v>206</v>
      </c>
      <c r="B73" s="13">
        <v>4652</v>
      </c>
      <c r="C73" s="14">
        <f>(3910/B73*100)</f>
        <v>84.049871023215815</v>
      </c>
      <c r="D73" s="15">
        <v>742</v>
      </c>
      <c r="E73" s="14">
        <v>69.422610280000001</v>
      </c>
      <c r="F73" s="16">
        <v>2.1292446200000001</v>
      </c>
      <c r="G73" s="14">
        <v>30.577389719999999</v>
      </c>
      <c r="H73" s="16">
        <v>2.1292446200000001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77.098941490000001</v>
      </c>
      <c r="F75" s="16">
        <v>2.3235168700000002</v>
      </c>
      <c r="G75" s="14">
        <v>22.901058509999999</v>
      </c>
      <c r="H75" s="16">
        <v>2.3235168700000002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(5901/B76*100)</f>
        <v>82.937456078706958</v>
      </c>
      <c r="D76" s="15">
        <v>1214</v>
      </c>
      <c r="E76" s="14">
        <v>64.633376100000007</v>
      </c>
      <c r="F76" s="16">
        <v>1.8703049</v>
      </c>
      <c r="G76" s="14">
        <v>35.3666239</v>
      </c>
      <c r="H76" s="16">
        <v>1.8703049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(2634/B77*100)</f>
        <v>83.512999365884582</v>
      </c>
      <c r="D77" s="15">
        <v>520</v>
      </c>
      <c r="E77" s="14">
        <v>89.440163620000007</v>
      </c>
      <c r="F77" s="16">
        <v>1.4429762699999999</v>
      </c>
      <c r="G77" s="14">
        <v>10.55983638</v>
      </c>
      <c r="H77" s="16">
        <v>1.4429762699999999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(4520/B81*100)</f>
        <v>96.211153682418043</v>
      </c>
      <c r="D81" s="15">
        <v>178</v>
      </c>
      <c r="E81" s="14">
        <v>61.161825890000003</v>
      </c>
      <c r="F81" s="16">
        <v>3.4872889599999999</v>
      </c>
      <c r="G81" s="14">
        <v>38.838174109999997</v>
      </c>
      <c r="H81" s="16">
        <v>3.4872889599999999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(5985/B7*100)</f>
        <v>83.554376657824932</v>
      </c>
      <c r="D7" s="15">
        <v>1178</v>
      </c>
      <c r="E7" s="14">
        <v>24.384477629999999</v>
      </c>
      <c r="F7" s="16">
        <v>1.2440762299999999</v>
      </c>
      <c r="G7" s="14">
        <v>75.615522369999994</v>
      </c>
      <c r="H7" s="16">
        <v>1.2440762299999999</v>
      </c>
      <c r="I7" s="14" t="s">
        <v>139</v>
      </c>
      <c r="J7" s="16" t="s">
        <v>139</v>
      </c>
      <c r="K7" s="14">
        <v>0</v>
      </c>
      <c r="L7" s="16">
        <v>0</v>
      </c>
      <c r="M7" s="14">
        <v>0</v>
      </c>
      <c r="N7" s="16">
        <v>0</v>
      </c>
      <c r="O7" s="14">
        <v>0</v>
      </c>
      <c r="P7" s="16">
        <v>0</v>
      </c>
      <c r="Q7" s="14">
        <v>0</v>
      </c>
      <c r="R7" s="16">
        <v>0</v>
      </c>
    </row>
    <row r="8" spans="1:18" x14ac:dyDescent="0.25">
      <c r="A8" s="11" t="s">
        <v>140</v>
      </c>
      <c r="B8" s="13">
        <v>3443</v>
      </c>
      <c r="C8" s="14">
        <f>(2871/B8*100)</f>
        <v>83.386581469648561</v>
      </c>
      <c r="D8" s="15">
        <v>572</v>
      </c>
      <c r="E8" s="14">
        <v>43.371723979999999</v>
      </c>
      <c r="F8" s="16">
        <v>2.46871456</v>
      </c>
      <c r="G8" s="14">
        <v>56.628276020000001</v>
      </c>
      <c r="H8" s="16">
        <v>2.46871456</v>
      </c>
      <c r="I8" s="14" t="s">
        <v>139</v>
      </c>
      <c r="J8" s="16" t="s">
        <v>139</v>
      </c>
      <c r="K8" s="14">
        <v>0</v>
      </c>
      <c r="L8" s="16">
        <v>0</v>
      </c>
      <c r="M8" s="14">
        <v>0</v>
      </c>
      <c r="N8" s="16">
        <v>0</v>
      </c>
      <c r="O8" s="14">
        <v>0</v>
      </c>
      <c r="P8" s="16">
        <v>0</v>
      </c>
      <c r="Q8" s="14">
        <v>0</v>
      </c>
      <c r="R8" s="16">
        <v>0</v>
      </c>
    </row>
    <row r="9" spans="1:18" x14ac:dyDescent="0.25">
      <c r="A9" s="11" t="s">
        <v>141</v>
      </c>
      <c r="B9" s="13">
        <v>4752</v>
      </c>
      <c r="C9" s="14">
        <f>(3973/B9*100)</f>
        <v>83.606902356902353</v>
      </c>
      <c r="D9" s="15">
        <v>779</v>
      </c>
      <c r="E9" s="14">
        <v>30.564142180000001</v>
      </c>
      <c r="F9" s="16">
        <v>1.5066946000000001</v>
      </c>
      <c r="G9" s="14">
        <v>69.435857819999995</v>
      </c>
      <c r="H9" s="16">
        <v>1.5066946000000001</v>
      </c>
      <c r="I9" s="14" t="s">
        <v>139</v>
      </c>
      <c r="J9" s="16" t="s">
        <v>139</v>
      </c>
      <c r="K9" s="14">
        <v>0</v>
      </c>
      <c r="L9" s="16">
        <v>0</v>
      </c>
      <c r="M9" s="14">
        <v>0</v>
      </c>
      <c r="N9" s="16">
        <v>0</v>
      </c>
      <c r="O9" s="14">
        <v>0</v>
      </c>
      <c r="P9" s="16">
        <v>0</v>
      </c>
      <c r="Q9" s="14">
        <v>0</v>
      </c>
      <c r="R9" s="16">
        <v>0</v>
      </c>
    </row>
    <row r="10" spans="1:18" x14ac:dyDescent="0.25">
      <c r="A10" s="11" t="s">
        <v>142</v>
      </c>
      <c r="B10" s="13">
        <v>10022</v>
      </c>
      <c r="C10" s="14">
        <f>(8325/B10*100)</f>
        <v>83.067252045499899</v>
      </c>
      <c r="D10" s="15">
        <v>1697</v>
      </c>
      <c r="E10" s="14">
        <v>22.624189019999999</v>
      </c>
      <c r="F10" s="16">
        <v>1.33855883</v>
      </c>
      <c r="G10" s="14">
        <v>77.375810979999997</v>
      </c>
      <c r="H10" s="16">
        <v>1.33855883</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(2937/B11*100)</f>
        <v>83.914285714285725</v>
      </c>
      <c r="D11" s="15">
        <v>563</v>
      </c>
      <c r="E11" s="14">
        <v>49.106645829999998</v>
      </c>
      <c r="F11" s="16">
        <v>2.2226835500000002</v>
      </c>
      <c r="G11" s="14">
        <v>50.893354170000002</v>
      </c>
      <c r="H11" s="16">
        <v>2.2226835500000002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(2840/B12*100)</f>
        <v>82.99240210403272</v>
      </c>
      <c r="D12" s="15">
        <v>582</v>
      </c>
      <c r="E12" s="14">
        <v>49.538671520000001</v>
      </c>
      <c r="F12" s="16">
        <v>2.0578277800000002</v>
      </c>
      <c r="G12" s="14">
        <v>50.461328479999999</v>
      </c>
      <c r="H12" s="16">
        <v>2.0578277800000002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(3022/B13*100)</f>
        <v>83.897834536368691</v>
      </c>
      <c r="D13" s="15">
        <v>580</v>
      </c>
      <c r="E13" s="14">
        <v>35.627969669999999</v>
      </c>
      <c r="F13" s="16">
        <v>2.0179682099999998</v>
      </c>
      <c r="G13" s="14">
        <v>64.372030330000001</v>
      </c>
      <c r="H13" s="16">
        <v>2.0179682099999998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27.612121909999999</v>
      </c>
      <c r="F14" s="16">
        <v>2.23275932</v>
      </c>
      <c r="G14" s="14">
        <v>72.387878090000001</v>
      </c>
      <c r="H14" s="16">
        <v>2.23275932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(2377/B15*100)</f>
        <v>83.024799161718477</v>
      </c>
      <c r="D15" s="15">
        <v>486</v>
      </c>
      <c r="E15" s="14">
        <v>20.025855069999999</v>
      </c>
      <c r="F15" s="16">
        <v>1.50115182</v>
      </c>
      <c r="G15" s="14">
        <v>79.974144929999994</v>
      </c>
      <c r="H15" s="16">
        <v>1.50115182</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(2575/B16*100)</f>
        <v>82.770813243330124</v>
      </c>
      <c r="D16" s="15">
        <v>536</v>
      </c>
      <c r="E16" s="14">
        <v>29.09970418</v>
      </c>
      <c r="F16" s="16">
        <v>1.9912520300000001</v>
      </c>
      <c r="G16" s="14">
        <v>70.900295819999997</v>
      </c>
      <c r="H16" s="16">
        <v>1.9912520300000001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(2651/B17*100)</f>
        <v>82.921488895839843</v>
      </c>
      <c r="D17" s="15">
        <v>546</v>
      </c>
      <c r="E17" s="14">
        <v>40.051862970000002</v>
      </c>
      <c r="F17" s="16">
        <v>2.0048275000000002</v>
      </c>
      <c r="G17" s="14">
        <v>59.948137029999998</v>
      </c>
      <c r="H17" s="16">
        <v>2.0048275000000002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(2284/B18*100)</f>
        <v>84.405025868440504</v>
      </c>
      <c r="D18" s="15">
        <v>422</v>
      </c>
      <c r="E18" s="14">
        <v>41.364496559999999</v>
      </c>
      <c r="F18" s="16">
        <v>2.7326864</v>
      </c>
      <c r="G18" s="14">
        <v>58.635503440000001</v>
      </c>
      <c r="H18" s="16">
        <v>2.7326864</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(2375/B19*100)</f>
        <v>83.333333333333343</v>
      </c>
      <c r="D19" s="15">
        <v>475</v>
      </c>
      <c r="E19" s="14">
        <v>46.487525509999998</v>
      </c>
      <c r="F19" s="16">
        <v>2.5981099300000001</v>
      </c>
      <c r="G19" s="14">
        <v>53.512474490000002</v>
      </c>
      <c r="H19" s="16">
        <v>2.5981099300000001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(1463/B20*100)</f>
        <v>84.032165422171161</v>
      </c>
      <c r="D20" s="15">
        <v>278</v>
      </c>
      <c r="E20" s="14">
        <v>45.535145380000003</v>
      </c>
      <c r="F20" s="16">
        <v>3.2523423999999999</v>
      </c>
      <c r="G20" s="14">
        <v>54.464854619999997</v>
      </c>
      <c r="H20" s="16">
        <v>3.2523423999999999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(3127/B22*100)</f>
        <v>85.274065994000551</v>
      </c>
      <c r="D22" s="15">
        <v>540</v>
      </c>
      <c r="E22" s="14">
        <v>40.201777720000003</v>
      </c>
      <c r="F22" s="16">
        <v>2.64548512</v>
      </c>
      <c r="G22" s="14">
        <v>59.798222279999997</v>
      </c>
      <c r="H22" s="16">
        <v>2.64548512</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(4825/B23*100)</f>
        <v>83.304558011049721</v>
      </c>
      <c r="D23" s="15">
        <v>967</v>
      </c>
      <c r="E23" s="14">
        <v>35.152862880000001</v>
      </c>
      <c r="F23" s="16">
        <v>2.31301823</v>
      </c>
      <c r="G23" s="14">
        <v>64.847137119999999</v>
      </c>
      <c r="H23" s="16">
        <v>2.31301823</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(2719/B24*100)</f>
        <v>82.169839830764573</v>
      </c>
      <c r="D24" s="15">
        <v>590</v>
      </c>
      <c r="E24" s="14">
        <v>31.733705409999999</v>
      </c>
      <c r="F24" s="16">
        <v>1.6930080300000001</v>
      </c>
      <c r="G24" s="14">
        <v>68.266294590000001</v>
      </c>
      <c r="H24" s="16">
        <v>1.6930080300000001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21.829755840000001</v>
      </c>
      <c r="F25" s="16">
        <v>1.4876254799999999</v>
      </c>
      <c r="G25" s="14">
        <v>78.170244159999996</v>
      </c>
      <c r="H25" s="16">
        <v>1.4876254799999999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(2003/B26*100)</f>
        <v>82.802811078958243</v>
      </c>
      <c r="D26" s="15">
        <v>416</v>
      </c>
      <c r="E26" s="14">
        <v>46.38935129</v>
      </c>
      <c r="F26" s="16">
        <v>2.4052650400000002</v>
      </c>
      <c r="G26" s="14">
        <v>53.61064871</v>
      </c>
      <c r="H26" s="16">
        <v>2.4052650400000002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(2241/B27*100)</f>
        <v>83.52590383898621</v>
      </c>
      <c r="D27" s="15">
        <v>442</v>
      </c>
      <c r="E27" s="14">
        <v>50.01320252</v>
      </c>
      <c r="F27" s="16">
        <v>2.51764272</v>
      </c>
      <c r="G27" s="14">
        <v>49.98679748</v>
      </c>
      <c r="H27" s="16">
        <v>2.51764272</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(3194/B28*100)</f>
        <v>83.986326584275574</v>
      </c>
      <c r="D28" s="15">
        <v>609</v>
      </c>
      <c r="E28" s="14">
        <v>43.683220849999998</v>
      </c>
      <c r="F28" s="16">
        <v>2.37702401</v>
      </c>
      <c r="G28" s="14">
        <v>56.316779150000002</v>
      </c>
      <c r="H28" s="16">
        <v>2.37702401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32.267604339999998</v>
      </c>
      <c r="F29" s="16">
        <v>2.0846806400000002</v>
      </c>
      <c r="G29" s="14">
        <v>67.732395659999995</v>
      </c>
      <c r="H29" s="16">
        <v>2.0846806400000002</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(1892/B30*100)</f>
        <v>83.828090385467434</v>
      </c>
      <c r="D30" s="15">
        <v>365</v>
      </c>
      <c r="E30" s="14">
        <v>24.427954339999999</v>
      </c>
      <c r="F30" s="16">
        <v>2.1207568000000001</v>
      </c>
      <c r="G30" s="14">
        <v>75.572045660000001</v>
      </c>
      <c r="H30" s="16">
        <v>2.1207568000000001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(2227/B31*100)</f>
        <v>82.298595713229858</v>
      </c>
      <c r="D31" s="15">
        <v>479</v>
      </c>
      <c r="E31" s="14">
        <v>27.498455480000001</v>
      </c>
      <c r="F31" s="16">
        <v>2.2044010300000001</v>
      </c>
      <c r="G31" s="14">
        <v>72.501544519999996</v>
      </c>
      <c r="H31" s="16">
        <v>2.2044010300000001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36.087767100000001</v>
      </c>
      <c r="F33" s="16">
        <v>2.2118392</v>
      </c>
      <c r="G33" s="14">
        <v>63.912232899999999</v>
      </c>
      <c r="H33" s="16">
        <v>2.2118392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(2572/B34*100)</f>
        <v>84.744645799011536</v>
      </c>
      <c r="D34" s="15">
        <v>463</v>
      </c>
      <c r="E34" s="14">
        <v>49.077234099999998</v>
      </c>
      <c r="F34" s="16">
        <v>2.5931862099999998</v>
      </c>
      <c r="G34" s="14">
        <v>50.922765900000002</v>
      </c>
      <c r="H34" s="16">
        <v>2.5931862099999998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(2417/B35*100)</f>
        <v>83.316097897276791</v>
      </c>
      <c r="D35" s="15">
        <v>484</v>
      </c>
      <c r="E35" s="14">
        <v>36.060511579999996</v>
      </c>
      <c r="F35" s="16">
        <v>2.62100198</v>
      </c>
      <c r="G35" s="14">
        <v>63.939488420000004</v>
      </c>
      <c r="H35" s="16">
        <v>2.62100198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46.262042710000003</v>
      </c>
      <c r="F36" s="16">
        <v>2.0797581300000001</v>
      </c>
      <c r="G36" s="14">
        <v>53.737957289999997</v>
      </c>
      <c r="H36" s="16">
        <v>2.0797581300000001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(2287/B37*100)</f>
        <v>83.742218967411205</v>
      </c>
      <c r="D37" s="15">
        <v>444</v>
      </c>
      <c r="E37" s="14">
        <v>48.997331269999997</v>
      </c>
      <c r="F37" s="16">
        <v>2.4630015099999998</v>
      </c>
      <c r="G37" s="14">
        <v>51.002668730000003</v>
      </c>
      <c r="H37" s="16">
        <v>2.4630015099999998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45.002660429999999</v>
      </c>
      <c r="F39" s="16">
        <v>2.8115530400000002</v>
      </c>
      <c r="G39" s="14">
        <v>54.997339570000001</v>
      </c>
      <c r="H39" s="16">
        <v>2.8115530400000002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(5711/B40*100)</f>
        <v>82.50505634209766</v>
      </c>
      <c r="D40" s="15">
        <v>1211</v>
      </c>
      <c r="E40" s="14">
        <v>26.28812551</v>
      </c>
      <c r="F40" s="16">
        <v>2.0759450699999999</v>
      </c>
      <c r="G40" s="14">
        <v>73.71187449</v>
      </c>
      <c r="H40" s="16">
        <v>2.0759450699999999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(2392/B41*100)</f>
        <v>83.812193412754027</v>
      </c>
      <c r="D41" s="15">
        <v>462</v>
      </c>
      <c r="E41" s="14">
        <v>23.979637220000001</v>
      </c>
      <c r="F41" s="16">
        <v>1.65041361</v>
      </c>
      <c r="G41" s="14">
        <v>76.020362779999999</v>
      </c>
      <c r="H41" s="16">
        <v>1.65041361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83.358504234266036</v>
      </c>
      <c r="D42" s="15">
        <f>IF(COUNT(D7:D41) &gt; 0, AVERAGE(D7:D41), "—")</f>
        <v>602.21875</v>
      </c>
      <c r="E42" s="14">
        <f>IF(COUNT(E7:E41) &gt; 0, AVERAGE(E7:E41), "—")</f>
        <v>36.573366625000013</v>
      </c>
      <c r="F42" s="16">
        <f>IF(COUNT(F7:F41) &gt; 0, SQRT(SUMSQ(F7:F41)/(COUNT(F7:F41)*COUNT(F7:F41)) ), "—")</f>
        <v>0.39242249757164438</v>
      </c>
      <c r="G42" s="14">
        <f>IF(COUNT(G7:G41) &gt; 0, AVERAGE(G7:G41), "—")</f>
        <v>63.426633374999994</v>
      </c>
      <c r="H42" s="16">
        <f>IF(COUNT(H7:H41) &gt; 0, SQRT(SUMSQ(H7:H41)/(COUNT(H7:H41)*COUNT(H7:H41)) ), "—")</f>
        <v>0.39242249757164438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(10450/B46*100)</f>
        <v>86.556779590822501</v>
      </c>
      <c r="D46" s="15">
        <v>1623</v>
      </c>
      <c r="E46" s="14">
        <v>57.146791219999997</v>
      </c>
      <c r="F46" s="16">
        <v>1.8792576400000001</v>
      </c>
      <c r="G46" s="14">
        <v>42.853208780000003</v>
      </c>
      <c r="H46" s="16">
        <v>1.8792576400000001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(2347/B47*100)</f>
        <v>83.138505136379734</v>
      </c>
      <c r="D47" s="15">
        <v>476</v>
      </c>
      <c r="E47" s="14">
        <v>42.515308480000002</v>
      </c>
      <c r="F47" s="16">
        <v>2.7440352899999998</v>
      </c>
      <c r="G47" s="14">
        <v>57.484691519999998</v>
      </c>
      <c r="H47" s="16">
        <v>2.7440352899999998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(3885/B48*100)</f>
        <v>82.977360102520294</v>
      </c>
      <c r="D48" s="15">
        <v>797</v>
      </c>
      <c r="E48" s="14">
        <v>51.415855090000001</v>
      </c>
      <c r="F48" s="16">
        <v>2.1503175300000001</v>
      </c>
      <c r="G48" s="14">
        <v>48.584144909999999</v>
      </c>
      <c r="H48" s="16">
        <v>2.1503175300000001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(5172/B50*100)</f>
        <v>83.988307892172784</v>
      </c>
      <c r="D50" s="15">
        <v>986</v>
      </c>
      <c r="E50" s="14">
        <v>46.740022539999998</v>
      </c>
      <c r="F50" s="16">
        <v>1.9703364299999999</v>
      </c>
      <c r="G50" s="14">
        <v>53.259977460000002</v>
      </c>
      <c r="H50" s="16">
        <v>1.9703364299999999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(2986/B51*100)</f>
        <v>85.460789925586724</v>
      </c>
      <c r="D51" s="15">
        <v>508</v>
      </c>
      <c r="E51" s="14">
        <v>55.658564820000002</v>
      </c>
      <c r="F51" s="16">
        <v>2.36578651</v>
      </c>
      <c r="G51" s="14">
        <v>44.341435179999998</v>
      </c>
      <c r="H51" s="16">
        <v>2.36578651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(2484/B52*100)</f>
        <v>82.44274809160305</v>
      </c>
      <c r="D52" s="15">
        <v>529</v>
      </c>
      <c r="E52" s="14">
        <v>33.14142597</v>
      </c>
      <c r="F52" s="16">
        <v>2.4965155299999999</v>
      </c>
      <c r="G52" s="14">
        <v>66.85857403</v>
      </c>
      <c r="H52" s="16">
        <v>2.4965155299999999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(2295/B53*100)</f>
        <v>83.152173913043484</v>
      </c>
      <c r="D53" s="15">
        <v>465</v>
      </c>
      <c r="E53" s="14">
        <v>47.4158714</v>
      </c>
      <c r="F53" s="16">
        <v>2.57347686</v>
      </c>
      <c r="G53" s="14">
        <v>52.5841286</v>
      </c>
      <c r="H53" s="16">
        <v>2.57347686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50.739120399999997</v>
      </c>
      <c r="F56" s="16">
        <v>2.4547463600000001</v>
      </c>
      <c r="G56" s="14">
        <v>49.260879600000003</v>
      </c>
      <c r="H56" s="16">
        <v>2.4547463600000001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(2649/B61*100)</f>
        <v>82.755388940955953</v>
      </c>
      <c r="D61" s="15">
        <v>552</v>
      </c>
      <c r="E61" s="14">
        <v>40.243566889999997</v>
      </c>
      <c r="F61" s="16">
        <v>2.2428169100000002</v>
      </c>
      <c r="G61" s="14">
        <v>59.756433110000003</v>
      </c>
      <c r="H61" s="16">
        <v>2.2428169100000002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(1851/B62*100)</f>
        <v>83.004484304932731</v>
      </c>
      <c r="D62" s="15">
        <v>379</v>
      </c>
      <c r="E62" s="14">
        <v>53.308066969999999</v>
      </c>
      <c r="F62" s="16">
        <v>2.3350935499999999</v>
      </c>
      <c r="G62" s="14">
        <v>46.691933030000001</v>
      </c>
      <c r="H62" s="16">
        <v>2.3350935499999999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(2312/B66*100)</f>
        <v>83.435582822085891</v>
      </c>
      <c r="D66" s="15">
        <v>459</v>
      </c>
      <c r="E66" s="14">
        <v>46.634124190000001</v>
      </c>
      <c r="F66" s="16">
        <v>2.3538559800000001</v>
      </c>
      <c r="G66" s="14">
        <v>53.365875809999999</v>
      </c>
      <c r="H66" s="16">
        <v>2.3538559800000001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(2988/B67*100)</f>
        <v>86.358381502890168</v>
      </c>
      <c r="D67" s="15">
        <v>472</v>
      </c>
      <c r="E67" s="14">
        <v>46.86969079</v>
      </c>
      <c r="F67" s="16">
        <v>2.1884918400000002</v>
      </c>
      <c r="G67" s="14">
        <v>53.13030921</v>
      </c>
      <c r="H67" s="16">
        <v>2.1884918400000002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(2589/B70*100)</f>
        <v>83.32796910202768</v>
      </c>
      <c r="D70" s="15">
        <v>518</v>
      </c>
      <c r="E70" s="14">
        <v>52.921405780000001</v>
      </c>
      <c r="F70" s="16">
        <v>2.8811792199999999</v>
      </c>
      <c r="G70" s="14">
        <v>47.078594219999999</v>
      </c>
      <c r="H70" s="16">
        <v>2.8811792199999999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53.496547890000002</v>
      </c>
      <c r="F72" s="16">
        <v>1.83142107</v>
      </c>
      <c r="G72" s="14">
        <v>46.503452109999998</v>
      </c>
      <c r="H72" s="16">
        <v>1.83142107</v>
      </c>
      <c r="I72" s="14" t="s">
        <v>139</v>
      </c>
      <c r="J72" s="16" t="s">
        <v>139</v>
      </c>
      <c r="K72" s="14">
        <v>0</v>
      </c>
      <c r="L72" s="16">
        <v>0</v>
      </c>
      <c r="M72" s="14">
        <v>0</v>
      </c>
      <c r="N72" s="16">
        <v>0</v>
      </c>
      <c r="O72" s="14">
        <v>0</v>
      </c>
      <c r="P72" s="16">
        <v>0</v>
      </c>
      <c r="Q72" s="14">
        <v>0</v>
      </c>
      <c r="R72" s="16">
        <v>0</v>
      </c>
    </row>
    <row r="73" spans="1:18" x14ac:dyDescent="0.25">
      <c r="A73" s="11" t="s">
        <v>206</v>
      </c>
      <c r="B73" s="13">
        <v>4652</v>
      </c>
      <c r="C73" s="14">
        <f>(3910/B73*100)</f>
        <v>84.049871023215815</v>
      </c>
      <c r="D73" s="15">
        <v>742</v>
      </c>
      <c r="E73" s="14">
        <v>80.286184009999999</v>
      </c>
      <c r="F73" s="16">
        <v>1.7315769700000001</v>
      </c>
      <c r="G73" s="14">
        <v>19.713815990000001</v>
      </c>
      <c r="H73" s="16">
        <v>1.7315769700000001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56.110988399999997</v>
      </c>
      <c r="F75" s="16">
        <v>2.4751907700000002</v>
      </c>
      <c r="G75" s="14">
        <v>43.889011600000003</v>
      </c>
      <c r="H75" s="16">
        <v>2.4751907700000002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(5901/B76*100)</f>
        <v>82.937456078706958</v>
      </c>
      <c r="D76" s="15">
        <v>1214</v>
      </c>
      <c r="E76" s="14">
        <v>45.029129380000001</v>
      </c>
      <c r="F76" s="16">
        <v>1.83269993</v>
      </c>
      <c r="G76" s="14">
        <v>54.970870619999999</v>
      </c>
      <c r="H76" s="16">
        <v>1.83269993</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(2634/B77*100)</f>
        <v>83.512999365884582</v>
      </c>
      <c r="D77" s="15">
        <v>520</v>
      </c>
      <c r="E77" s="14">
        <v>48.193926670000003</v>
      </c>
      <c r="F77" s="16">
        <v>1.6796087799999999</v>
      </c>
      <c r="G77" s="14">
        <v>51.806073329999997</v>
      </c>
      <c r="H77" s="16">
        <v>1.6796087799999999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(4520/B81*100)</f>
        <v>96.211153682418043</v>
      </c>
      <c r="D81" s="15">
        <v>178</v>
      </c>
      <c r="E81" s="14">
        <v>46.070911809999998</v>
      </c>
      <c r="F81" s="16">
        <v>4.4628637400000004</v>
      </c>
      <c r="G81" s="14">
        <v>53.929088190000002</v>
      </c>
      <c r="H81" s="16">
        <v>4.4628637400000004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(5985/B7*100)</f>
        <v>83.554376657824932</v>
      </c>
      <c r="D7" s="15">
        <v>1178</v>
      </c>
      <c r="E7" s="14">
        <v>18.565314520000001</v>
      </c>
      <c r="F7" s="16">
        <v>1.2935890999999999</v>
      </c>
      <c r="G7" s="14">
        <v>81.434685479999999</v>
      </c>
      <c r="H7" s="16">
        <v>1.2935890999999999</v>
      </c>
      <c r="I7" s="14" t="s">
        <v>139</v>
      </c>
      <c r="J7" s="16" t="s">
        <v>139</v>
      </c>
      <c r="K7" s="14">
        <v>0</v>
      </c>
      <c r="L7" s="16">
        <v>0</v>
      </c>
      <c r="M7" s="14">
        <v>0</v>
      </c>
      <c r="N7" s="16">
        <v>0</v>
      </c>
      <c r="O7" s="14">
        <v>0</v>
      </c>
      <c r="P7" s="16">
        <v>0</v>
      </c>
      <c r="Q7" s="14">
        <v>0</v>
      </c>
      <c r="R7" s="16">
        <v>0</v>
      </c>
    </row>
    <row r="8" spans="1:18" x14ac:dyDescent="0.25">
      <c r="A8" s="11" t="s">
        <v>140</v>
      </c>
      <c r="B8" s="13">
        <v>3443</v>
      </c>
      <c r="C8" s="14">
        <f>(2871/B8*100)</f>
        <v>83.386581469648561</v>
      </c>
      <c r="D8" s="15">
        <v>572</v>
      </c>
      <c r="E8" s="14">
        <v>33.889101570000001</v>
      </c>
      <c r="F8" s="16">
        <v>2.1433070500000002</v>
      </c>
      <c r="G8" s="14">
        <v>66.110898430000006</v>
      </c>
      <c r="H8" s="16">
        <v>2.1433070500000002</v>
      </c>
      <c r="I8" s="14" t="s">
        <v>139</v>
      </c>
      <c r="J8" s="16" t="s">
        <v>139</v>
      </c>
      <c r="K8" s="14">
        <v>0</v>
      </c>
      <c r="L8" s="16">
        <v>0</v>
      </c>
      <c r="M8" s="14">
        <v>0</v>
      </c>
      <c r="N8" s="16">
        <v>0</v>
      </c>
      <c r="O8" s="14">
        <v>0</v>
      </c>
      <c r="P8" s="16">
        <v>0</v>
      </c>
      <c r="Q8" s="14">
        <v>0</v>
      </c>
      <c r="R8" s="16">
        <v>0</v>
      </c>
    </row>
    <row r="9" spans="1:18" x14ac:dyDescent="0.25">
      <c r="A9" s="11" t="s">
        <v>141</v>
      </c>
      <c r="B9" s="13">
        <v>4752</v>
      </c>
      <c r="C9" s="14">
        <f>(3973/B9*100)</f>
        <v>83.606902356902353</v>
      </c>
      <c r="D9" s="15">
        <v>779</v>
      </c>
      <c r="E9" s="14">
        <v>28.472724060000001</v>
      </c>
      <c r="F9" s="16">
        <v>1.56700561</v>
      </c>
      <c r="G9" s="14">
        <v>71.527275939999996</v>
      </c>
      <c r="H9" s="16">
        <v>1.56700561</v>
      </c>
      <c r="I9" s="14" t="s">
        <v>139</v>
      </c>
      <c r="J9" s="16" t="s">
        <v>139</v>
      </c>
      <c r="K9" s="14">
        <v>0</v>
      </c>
      <c r="L9" s="16">
        <v>0</v>
      </c>
      <c r="M9" s="14">
        <v>0</v>
      </c>
      <c r="N9" s="16">
        <v>0</v>
      </c>
      <c r="O9" s="14">
        <v>0</v>
      </c>
      <c r="P9" s="16">
        <v>0</v>
      </c>
      <c r="Q9" s="14">
        <v>0</v>
      </c>
      <c r="R9" s="16">
        <v>0</v>
      </c>
    </row>
    <row r="10" spans="1:18" x14ac:dyDescent="0.25">
      <c r="A10" s="11" t="s">
        <v>142</v>
      </c>
      <c r="B10" s="13">
        <v>10022</v>
      </c>
      <c r="C10" s="14">
        <f>(8325/B10*100)</f>
        <v>83.067252045499899</v>
      </c>
      <c r="D10" s="15">
        <v>1697</v>
      </c>
      <c r="E10" s="14">
        <v>17.374751180000001</v>
      </c>
      <c r="F10" s="16">
        <v>1.3120492500000001</v>
      </c>
      <c r="G10" s="14">
        <v>82.625248819999996</v>
      </c>
      <c r="H10" s="16">
        <v>1.3120492500000001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(2937/B11*100)</f>
        <v>83.914285714285725</v>
      </c>
      <c r="D11" s="15">
        <v>563</v>
      </c>
      <c r="E11" s="14">
        <v>31.746383460000001</v>
      </c>
      <c r="F11" s="16">
        <v>2.2415919899999999</v>
      </c>
      <c r="G11" s="14">
        <v>68.253616539999996</v>
      </c>
      <c r="H11" s="16">
        <v>2.2415919899999999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(2840/B12*100)</f>
        <v>82.99240210403272</v>
      </c>
      <c r="D12" s="15">
        <v>582</v>
      </c>
      <c r="E12" s="14">
        <v>24.607616490000002</v>
      </c>
      <c r="F12" s="16">
        <v>2.34137664</v>
      </c>
      <c r="G12" s="14">
        <v>75.392383510000002</v>
      </c>
      <c r="H12" s="16">
        <v>2.34137664</v>
      </c>
      <c r="I12" s="14" t="s">
        <v>139</v>
      </c>
      <c r="J12" s="16" t="s">
        <v>139</v>
      </c>
      <c r="K12" s="14">
        <v>0</v>
      </c>
      <c r="L12" s="16">
        <v>0</v>
      </c>
      <c r="M12" s="14">
        <v>0</v>
      </c>
      <c r="N12" s="16">
        <v>0</v>
      </c>
      <c r="O12" s="14">
        <v>0</v>
      </c>
      <c r="P12" s="16">
        <v>0</v>
      </c>
      <c r="Q12" s="14">
        <v>0</v>
      </c>
      <c r="R12" s="16">
        <v>0</v>
      </c>
    </row>
    <row r="13" spans="1:18" x14ac:dyDescent="0.25">
      <c r="A13" s="11" t="s">
        <v>145</v>
      </c>
      <c r="B13" s="13">
        <v>3602</v>
      </c>
      <c r="C13" s="14">
        <f>(3022/B13*100)</f>
        <v>83.897834536368691</v>
      </c>
      <c r="D13" s="15">
        <v>580</v>
      </c>
      <c r="E13" s="14">
        <v>17.386069280000001</v>
      </c>
      <c r="F13" s="16">
        <v>1.59805215</v>
      </c>
      <c r="G13" s="14">
        <v>82.613930719999999</v>
      </c>
      <c r="H13" s="16">
        <v>1.59805215</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21.509133800000001</v>
      </c>
      <c r="F14" s="16">
        <v>2.0984214300000001</v>
      </c>
      <c r="G14" s="14">
        <v>78.490866199999999</v>
      </c>
      <c r="H14" s="16">
        <v>2.0984214300000001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(2377/B15*100)</f>
        <v>83.024799161718477</v>
      </c>
      <c r="D15" s="15">
        <v>486</v>
      </c>
      <c r="E15" s="14">
        <v>13.119769979999999</v>
      </c>
      <c r="F15" s="16">
        <v>1.85094336</v>
      </c>
      <c r="G15" s="14">
        <v>86.880230019999999</v>
      </c>
      <c r="H15" s="16">
        <v>1.85094336</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(2575/B16*100)</f>
        <v>82.770813243330124</v>
      </c>
      <c r="D16" s="15">
        <v>536</v>
      </c>
      <c r="E16" s="14">
        <v>27.295069380000001</v>
      </c>
      <c r="F16" s="16">
        <v>1.6715426</v>
      </c>
      <c r="G16" s="14">
        <v>72.704930619999999</v>
      </c>
      <c r="H16" s="16">
        <v>1.6715426</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(2651/B17*100)</f>
        <v>82.921488895839843</v>
      </c>
      <c r="D17" s="15">
        <v>546</v>
      </c>
      <c r="E17" s="14">
        <v>30.751683190000001</v>
      </c>
      <c r="F17" s="16">
        <v>2.1224214899999998</v>
      </c>
      <c r="G17" s="14">
        <v>69.248316810000006</v>
      </c>
      <c r="H17" s="16">
        <v>2.1224214899999998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(2284/B18*100)</f>
        <v>84.405025868440504</v>
      </c>
      <c r="D18" s="15">
        <v>422</v>
      </c>
      <c r="E18" s="14">
        <v>29.156111620000001</v>
      </c>
      <c r="F18" s="16">
        <v>2.9594313300000001</v>
      </c>
      <c r="G18" s="14">
        <v>70.843888379999996</v>
      </c>
      <c r="H18" s="16">
        <v>2.9594313300000001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(2375/B19*100)</f>
        <v>83.333333333333343</v>
      </c>
      <c r="D19" s="15">
        <v>475</v>
      </c>
      <c r="E19" s="14">
        <v>29.176976669999998</v>
      </c>
      <c r="F19" s="16">
        <v>2.5895483499999998</v>
      </c>
      <c r="G19" s="14">
        <v>70.823023329999998</v>
      </c>
      <c r="H19" s="16">
        <v>2.5895483499999998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(1463/B20*100)</f>
        <v>84.032165422171161</v>
      </c>
      <c r="D20" s="15">
        <v>278</v>
      </c>
      <c r="E20" s="14">
        <v>31.248184559999999</v>
      </c>
      <c r="F20" s="16">
        <v>3.1025859499999999</v>
      </c>
      <c r="G20" s="14">
        <v>68.751815440000001</v>
      </c>
      <c r="H20" s="16">
        <v>3.1025859499999999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(3127/B22*100)</f>
        <v>85.274065994000551</v>
      </c>
      <c r="D22" s="15">
        <v>540</v>
      </c>
      <c r="E22" s="14">
        <v>31.410190549999999</v>
      </c>
      <c r="F22" s="16">
        <v>2.2664547499999999</v>
      </c>
      <c r="G22" s="14">
        <v>68.589809450000004</v>
      </c>
      <c r="H22" s="16">
        <v>2.2664547499999999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(4825/B23*100)</f>
        <v>83.304558011049721</v>
      </c>
      <c r="D23" s="15">
        <v>967</v>
      </c>
      <c r="E23" s="14">
        <v>23.513352579999999</v>
      </c>
      <c r="F23" s="16">
        <v>1.9217764900000001</v>
      </c>
      <c r="G23" s="14">
        <v>76.486647419999997</v>
      </c>
      <c r="H23" s="16">
        <v>1.9217764900000001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(2719/B24*100)</f>
        <v>82.169839830764573</v>
      </c>
      <c r="D24" s="15">
        <v>590</v>
      </c>
      <c r="E24" s="14">
        <v>24.948448249999998</v>
      </c>
      <c r="F24" s="16">
        <v>1.93801037</v>
      </c>
      <c r="G24" s="14">
        <v>75.051551750000002</v>
      </c>
      <c r="H24" s="16">
        <v>1.93801037</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11.83352876</v>
      </c>
      <c r="F25" s="16">
        <v>1.22440401</v>
      </c>
      <c r="G25" s="14">
        <v>88.166471240000007</v>
      </c>
      <c r="H25" s="16">
        <v>1.22440401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(2003/B26*100)</f>
        <v>82.802811078958243</v>
      </c>
      <c r="D26" s="15">
        <v>416</v>
      </c>
      <c r="E26" s="14">
        <v>31.703254520000002</v>
      </c>
      <c r="F26" s="16">
        <v>2.4516918099999998</v>
      </c>
      <c r="G26" s="14">
        <v>68.296745479999998</v>
      </c>
      <c r="H26" s="16">
        <v>2.4516918099999998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(2241/B27*100)</f>
        <v>83.52590383898621</v>
      </c>
      <c r="D27" s="15">
        <v>442</v>
      </c>
      <c r="E27" s="14">
        <v>35.52384661</v>
      </c>
      <c r="F27" s="16">
        <v>2.1622039900000001</v>
      </c>
      <c r="G27" s="14">
        <v>64.476153389999993</v>
      </c>
      <c r="H27" s="16">
        <v>2.1622039900000001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(3194/B28*100)</f>
        <v>83.986326584275574</v>
      </c>
      <c r="D28" s="15">
        <v>609</v>
      </c>
      <c r="E28" s="14">
        <v>37.472488409999997</v>
      </c>
      <c r="F28" s="16">
        <v>2.1175296000000001</v>
      </c>
      <c r="G28" s="14">
        <v>62.527511590000003</v>
      </c>
      <c r="H28" s="16">
        <v>2.1175296000000001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27.764901949999999</v>
      </c>
      <c r="F29" s="16">
        <v>1.97474851</v>
      </c>
      <c r="G29" s="14">
        <v>72.235098050000005</v>
      </c>
      <c r="H29" s="16">
        <v>1.97474851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(1892/B30*100)</f>
        <v>83.828090385467434</v>
      </c>
      <c r="D30" s="15">
        <v>365</v>
      </c>
      <c r="E30" s="14">
        <v>16.706184199999999</v>
      </c>
      <c r="F30" s="16">
        <v>2.0713655200000001</v>
      </c>
      <c r="G30" s="14">
        <v>83.293815800000004</v>
      </c>
      <c r="H30" s="16">
        <v>2.0713655200000001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(2227/B31*100)</f>
        <v>82.298595713229858</v>
      </c>
      <c r="D31" s="15">
        <v>479</v>
      </c>
      <c r="E31" s="14">
        <v>19.313572730000001</v>
      </c>
      <c r="F31" s="16">
        <v>1.69584143</v>
      </c>
      <c r="G31" s="14">
        <v>80.686427269999996</v>
      </c>
      <c r="H31" s="16">
        <v>1.69584143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29.321665169999999</v>
      </c>
      <c r="F33" s="16">
        <v>1.94853433</v>
      </c>
      <c r="G33" s="14">
        <v>70.678334829999997</v>
      </c>
      <c r="H33" s="16">
        <v>1.94853433</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(2572/B34*100)</f>
        <v>84.744645799011536</v>
      </c>
      <c r="D34" s="15">
        <v>463</v>
      </c>
      <c r="E34" s="14">
        <v>33.092507939999997</v>
      </c>
      <c r="F34" s="16">
        <v>2.19684042</v>
      </c>
      <c r="G34" s="14">
        <v>66.907492059999996</v>
      </c>
      <c r="H34" s="16">
        <v>2.19684042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(2417/B35*100)</f>
        <v>83.316097897276791</v>
      </c>
      <c r="D35" s="15">
        <v>484</v>
      </c>
      <c r="E35" s="14">
        <v>31.634197489999998</v>
      </c>
      <c r="F35" s="16">
        <v>2.38581859</v>
      </c>
      <c r="G35" s="14">
        <v>68.365802509999995</v>
      </c>
      <c r="H35" s="16">
        <v>2.38581859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21.21185569</v>
      </c>
      <c r="F36" s="16">
        <v>1.8109135700000001</v>
      </c>
      <c r="G36" s="14">
        <v>78.788144310000007</v>
      </c>
      <c r="H36" s="16">
        <v>1.8109135700000001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(2287/B37*100)</f>
        <v>83.742218967411205</v>
      </c>
      <c r="D37" s="15">
        <v>444</v>
      </c>
      <c r="E37" s="14">
        <v>23.18715559</v>
      </c>
      <c r="F37" s="16">
        <v>1.8765022099999999</v>
      </c>
      <c r="G37" s="14">
        <v>76.812844409999997</v>
      </c>
      <c r="H37" s="16">
        <v>1.8765022099999999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38.70553228</v>
      </c>
      <c r="F39" s="16">
        <v>2.2848927799999998</v>
      </c>
      <c r="G39" s="14">
        <v>61.29446772</v>
      </c>
      <c r="H39" s="16">
        <v>2.2848927799999998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(5711/B40*100)</f>
        <v>82.50505634209766</v>
      </c>
      <c r="D40" s="15">
        <v>1211</v>
      </c>
      <c r="E40" s="14">
        <v>21.167684489999999</v>
      </c>
      <c r="F40" s="16">
        <v>1.7846194900000001</v>
      </c>
      <c r="G40" s="14">
        <v>78.832315510000001</v>
      </c>
      <c r="H40" s="16">
        <v>1.7846194900000001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(2392/B41*100)</f>
        <v>83.812193412754027</v>
      </c>
      <c r="D41" s="15">
        <v>462</v>
      </c>
      <c r="E41" s="14">
        <v>19.686889539999999</v>
      </c>
      <c r="F41" s="16">
        <v>2.1898243599999998</v>
      </c>
      <c r="G41" s="14">
        <v>80.313110460000004</v>
      </c>
      <c r="H41" s="16">
        <v>2.1898243599999998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83.358504234266036</v>
      </c>
      <c r="D42" s="15">
        <f>IF(COUNT(D7:D41) &gt; 0, AVERAGE(D7:D41), "—")</f>
        <v>602.21875</v>
      </c>
      <c r="E42" s="14">
        <f>IF(COUNT(E7:E41) &gt; 0, AVERAGE(E7:E41), "—")</f>
        <v>26.015504578437501</v>
      </c>
      <c r="F42" s="16">
        <f>IF(COUNT(F7:F41) &gt; 0, SQRT(SUMSQ(F7:F41)/(COUNT(F7:F41)*COUNT(F7:F41)) ), "—")</f>
        <v>0.36758346339822934</v>
      </c>
      <c r="G42" s="14">
        <f>IF(COUNT(G7:G41) &gt; 0, AVERAGE(G7:G41), "—")</f>
        <v>73.984495421562514</v>
      </c>
      <c r="H42" s="16">
        <f>IF(COUNT(H7:H41) &gt; 0, SQRT(SUMSQ(H7:H41)/(COUNT(H7:H41)*COUNT(H7:H41)) ), "—")</f>
        <v>0.36758346339822934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(10450/B46*100)</f>
        <v>86.556779590822501</v>
      </c>
      <c r="D46" s="15">
        <v>1623</v>
      </c>
      <c r="E46" s="14">
        <v>47.795266230000003</v>
      </c>
      <c r="F46" s="16">
        <v>1.7319922699999999</v>
      </c>
      <c r="G46" s="14">
        <v>52.204733769999997</v>
      </c>
      <c r="H46" s="16">
        <v>1.7319922699999999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(2347/B47*100)</f>
        <v>83.138505136379734</v>
      </c>
      <c r="D47" s="15">
        <v>476</v>
      </c>
      <c r="E47" s="14">
        <v>30.397408129999999</v>
      </c>
      <c r="F47" s="16">
        <v>2.2774440600000001</v>
      </c>
      <c r="G47" s="14">
        <v>69.602591869999998</v>
      </c>
      <c r="H47" s="16">
        <v>2.2774440600000001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(3885/B48*100)</f>
        <v>82.977360102520294</v>
      </c>
      <c r="D48" s="15">
        <v>797</v>
      </c>
      <c r="E48" s="14">
        <v>24.081636419999999</v>
      </c>
      <c r="F48" s="16">
        <v>2.0624123999999999</v>
      </c>
      <c r="G48" s="14">
        <v>75.918363580000005</v>
      </c>
      <c r="H48" s="16">
        <v>2.0624123999999999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(5172/B50*100)</f>
        <v>83.988307892172784</v>
      </c>
      <c r="D50" s="15">
        <v>986</v>
      </c>
      <c r="E50" s="14">
        <v>38.110423079999997</v>
      </c>
      <c r="F50" s="16">
        <v>2.0939402199999999</v>
      </c>
      <c r="G50" s="14">
        <v>61.889576920000003</v>
      </c>
      <c r="H50" s="16">
        <v>2.0939402199999999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(2986/B51*100)</f>
        <v>85.460789925586724</v>
      </c>
      <c r="D51" s="15">
        <v>508</v>
      </c>
      <c r="E51" s="14">
        <v>34.129537290000002</v>
      </c>
      <c r="F51" s="16">
        <v>2.1129424299999999</v>
      </c>
      <c r="G51" s="14">
        <v>65.870462709999998</v>
      </c>
      <c r="H51" s="16">
        <v>2.1129424299999999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(2484/B52*100)</f>
        <v>82.44274809160305</v>
      </c>
      <c r="D52" s="15">
        <v>529</v>
      </c>
      <c r="E52" s="14">
        <v>28.636149549999999</v>
      </c>
      <c r="F52" s="16">
        <v>2.2071081399999999</v>
      </c>
      <c r="G52" s="14">
        <v>71.363850450000001</v>
      </c>
      <c r="H52" s="16">
        <v>2.2071081399999999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(2295/B53*100)</f>
        <v>83.152173913043484</v>
      </c>
      <c r="D53" s="15">
        <v>465</v>
      </c>
      <c r="E53" s="14">
        <v>36.094051710000002</v>
      </c>
      <c r="F53" s="16">
        <v>2.3255560200000001</v>
      </c>
      <c r="G53" s="14">
        <v>63.905948289999998</v>
      </c>
      <c r="H53" s="16">
        <v>2.3255560200000001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10.4138097</v>
      </c>
      <c r="F56" s="16">
        <v>1.76798571</v>
      </c>
      <c r="G56" s="14">
        <v>89.586190299999998</v>
      </c>
      <c r="H56" s="16">
        <v>1.76798571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(2649/B61*100)</f>
        <v>82.755388940955953</v>
      </c>
      <c r="D61" s="15">
        <v>552</v>
      </c>
      <c r="E61" s="14">
        <v>39.66939094</v>
      </c>
      <c r="F61" s="16">
        <v>2.21359466</v>
      </c>
      <c r="G61" s="14">
        <v>60.33060906</v>
      </c>
      <c r="H61" s="16">
        <v>2.21359466</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(1851/B62*100)</f>
        <v>83.004484304932731</v>
      </c>
      <c r="D62" s="15">
        <v>379</v>
      </c>
      <c r="E62" s="14">
        <v>11.83802008</v>
      </c>
      <c r="F62" s="16">
        <v>1.5695833100000001</v>
      </c>
      <c r="G62" s="14">
        <v>88.161979919999993</v>
      </c>
      <c r="H62" s="16">
        <v>1.5695833100000001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(2312/B66*100)</f>
        <v>83.435582822085891</v>
      </c>
      <c r="D66" s="15">
        <v>459</v>
      </c>
      <c r="E66" s="14">
        <v>42.732758709999999</v>
      </c>
      <c r="F66" s="16">
        <v>2.22492884</v>
      </c>
      <c r="G66" s="14">
        <v>57.267241290000001</v>
      </c>
      <c r="H66" s="16">
        <v>2.22492884</v>
      </c>
      <c r="I66" s="14" t="s">
        <v>139</v>
      </c>
      <c r="J66" s="16" t="s">
        <v>139</v>
      </c>
      <c r="K66" s="14">
        <v>0</v>
      </c>
      <c r="L66" s="16">
        <v>0</v>
      </c>
      <c r="M66" s="14">
        <v>0</v>
      </c>
      <c r="N66" s="16">
        <v>0</v>
      </c>
      <c r="O66" s="14">
        <v>0</v>
      </c>
      <c r="P66" s="16">
        <v>0</v>
      </c>
      <c r="Q66" s="14">
        <v>0</v>
      </c>
      <c r="R66" s="16">
        <v>0</v>
      </c>
    </row>
    <row r="67" spans="1:18" x14ac:dyDescent="0.25">
      <c r="A67" s="11" t="s">
        <v>200</v>
      </c>
      <c r="B67" s="13">
        <v>3460</v>
      </c>
      <c r="C67" s="14">
        <f>(2988/B67*100)</f>
        <v>86.358381502890168</v>
      </c>
      <c r="D67" s="15">
        <v>472</v>
      </c>
      <c r="E67" s="14">
        <v>40.200112390000001</v>
      </c>
      <c r="F67" s="16">
        <v>2.3039413199999998</v>
      </c>
      <c r="G67" s="14">
        <v>59.799887609999999</v>
      </c>
      <c r="H67" s="16">
        <v>2.3039413199999998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(2589/B70*100)</f>
        <v>83.32796910202768</v>
      </c>
      <c r="D70" s="15">
        <v>518</v>
      </c>
      <c r="E70" s="14">
        <v>40.994848930000003</v>
      </c>
      <c r="F70" s="16">
        <v>2.9084919899999999</v>
      </c>
      <c r="G70" s="14">
        <v>59.005151069999997</v>
      </c>
      <c r="H70" s="16">
        <v>2.9084919899999999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12.074123670000001</v>
      </c>
      <c r="F72" s="16">
        <v>1.18779225</v>
      </c>
      <c r="G72" s="14">
        <v>87.925876329999994</v>
      </c>
      <c r="H72" s="16">
        <v>1.18779225</v>
      </c>
      <c r="I72" s="14" t="s">
        <v>139</v>
      </c>
      <c r="J72" s="16" t="s">
        <v>139</v>
      </c>
      <c r="K72" s="14">
        <v>0</v>
      </c>
      <c r="L72" s="16">
        <v>0</v>
      </c>
      <c r="M72" s="14">
        <v>0</v>
      </c>
      <c r="N72" s="16">
        <v>0</v>
      </c>
      <c r="O72" s="14">
        <v>0</v>
      </c>
      <c r="P72" s="16">
        <v>0</v>
      </c>
      <c r="Q72" s="14">
        <v>0</v>
      </c>
      <c r="R72" s="16">
        <v>0</v>
      </c>
    </row>
    <row r="73" spans="1:18" x14ac:dyDescent="0.25">
      <c r="A73" s="11" t="s">
        <v>206</v>
      </c>
      <c r="B73" s="13">
        <v>4652</v>
      </c>
      <c r="C73" s="14">
        <f>(3910/B73*100)</f>
        <v>84.049871023215815</v>
      </c>
      <c r="D73" s="15">
        <v>742</v>
      </c>
      <c r="E73" s="14">
        <v>24.835879590000001</v>
      </c>
      <c r="F73" s="16">
        <v>1.9127757000000001</v>
      </c>
      <c r="G73" s="14">
        <v>75.164120409999995</v>
      </c>
      <c r="H73" s="16">
        <v>1.9127757000000001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52.830247989999997</v>
      </c>
      <c r="F75" s="16">
        <v>2.1452770600000002</v>
      </c>
      <c r="G75" s="14">
        <v>47.169752010000003</v>
      </c>
      <c r="H75" s="16">
        <v>2.1452770600000002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(5901/B76*100)</f>
        <v>82.937456078706958</v>
      </c>
      <c r="D76" s="15">
        <v>1214</v>
      </c>
      <c r="E76" s="14">
        <v>37.146762459999998</v>
      </c>
      <c r="F76" s="16">
        <v>1.49701569</v>
      </c>
      <c r="G76" s="14">
        <v>62.853237540000002</v>
      </c>
      <c r="H76" s="16">
        <v>1.49701569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(2634/B77*100)</f>
        <v>83.512999365884582</v>
      </c>
      <c r="D77" s="15">
        <v>520</v>
      </c>
      <c r="E77" s="14">
        <v>42.983981700000001</v>
      </c>
      <c r="F77" s="16">
        <v>2.4603364499999998</v>
      </c>
      <c r="G77" s="14">
        <v>57.016018299999999</v>
      </c>
      <c r="H77" s="16">
        <v>2.4603364499999998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(4520/B81*100)</f>
        <v>96.211153682418043</v>
      </c>
      <c r="D81" s="15">
        <v>178</v>
      </c>
      <c r="E81" s="14">
        <v>31.596050479999999</v>
      </c>
      <c r="F81" s="16">
        <v>3.54266353</v>
      </c>
      <c r="G81" s="14">
        <v>68.403949519999998</v>
      </c>
      <c r="H81" s="16">
        <v>3.54266353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(5985/B7*100)</f>
        <v>83.554376657824932</v>
      </c>
      <c r="D7" s="15">
        <v>1178</v>
      </c>
      <c r="E7" s="14">
        <v>19.62814208</v>
      </c>
      <c r="F7" s="16">
        <v>1.4060307299999999</v>
      </c>
      <c r="G7" s="14">
        <v>80.371857919999997</v>
      </c>
      <c r="H7" s="16">
        <v>1.4060307299999999</v>
      </c>
      <c r="I7" s="14" t="s">
        <v>139</v>
      </c>
      <c r="J7" s="16" t="s">
        <v>139</v>
      </c>
      <c r="K7" s="14">
        <v>0</v>
      </c>
      <c r="L7" s="16">
        <v>0</v>
      </c>
      <c r="M7" s="14">
        <v>0</v>
      </c>
      <c r="N7" s="16">
        <v>0</v>
      </c>
      <c r="O7" s="14">
        <v>0</v>
      </c>
      <c r="P7" s="16">
        <v>0</v>
      </c>
      <c r="Q7" s="14">
        <v>0</v>
      </c>
      <c r="R7" s="16">
        <v>0</v>
      </c>
    </row>
    <row r="8" spans="1:18" x14ac:dyDescent="0.25">
      <c r="A8" s="11" t="s">
        <v>140</v>
      </c>
      <c r="B8" s="13">
        <v>3443</v>
      </c>
      <c r="C8" s="14">
        <f>(2871/B8*100)</f>
        <v>83.386581469648561</v>
      </c>
      <c r="D8" s="15">
        <v>572</v>
      </c>
      <c r="E8" s="14">
        <v>25.723666170000001</v>
      </c>
      <c r="F8" s="16">
        <v>1.71310487</v>
      </c>
      <c r="G8" s="14">
        <v>74.276333829999999</v>
      </c>
      <c r="H8" s="16">
        <v>1.71310487</v>
      </c>
      <c r="I8" s="14" t="s">
        <v>139</v>
      </c>
      <c r="J8" s="16" t="s">
        <v>139</v>
      </c>
      <c r="K8" s="14">
        <v>0</v>
      </c>
      <c r="L8" s="16">
        <v>0</v>
      </c>
      <c r="M8" s="14">
        <v>0</v>
      </c>
      <c r="N8" s="16">
        <v>0</v>
      </c>
      <c r="O8" s="14">
        <v>0</v>
      </c>
      <c r="P8" s="16">
        <v>0</v>
      </c>
      <c r="Q8" s="14">
        <v>0</v>
      </c>
      <c r="R8" s="16">
        <v>0</v>
      </c>
    </row>
    <row r="9" spans="1:18" x14ac:dyDescent="0.25">
      <c r="A9" s="11" t="s">
        <v>141</v>
      </c>
      <c r="B9" s="13">
        <v>4752</v>
      </c>
      <c r="C9" s="14">
        <f>(3973/B9*100)</f>
        <v>83.606902356902353</v>
      </c>
      <c r="D9" s="15">
        <v>779</v>
      </c>
      <c r="E9" s="14">
        <v>19.127607990000001</v>
      </c>
      <c r="F9" s="16">
        <v>1.48551788</v>
      </c>
      <c r="G9" s="14">
        <v>80.872392009999999</v>
      </c>
      <c r="H9" s="16">
        <v>1.48551788</v>
      </c>
      <c r="I9" s="14" t="s">
        <v>139</v>
      </c>
      <c r="J9" s="16" t="s">
        <v>139</v>
      </c>
      <c r="K9" s="14">
        <v>0</v>
      </c>
      <c r="L9" s="16">
        <v>0</v>
      </c>
      <c r="M9" s="14">
        <v>0</v>
      </c>
      <c r="N9" s="16">
        <v>0</v>
      </c>
      <c r="O9" s="14">
        <v>0</v>
      </c>
      <c r="P9" s="16">
        <v>0</v>
      </c>
      <c r="Q9" s="14">
        <v>0</v>
      </c>
      <c r="R9" s="16">
        <v>0</v>
      </c>
    </row>
    <row r="10" spans="1:18" x14ac:dyDescent="0.25">
      <c r="A10" s="11" t="s">
        <v>142</v>
      </c>
      <c r="B10" s="13">
        <v>10022</v>
      </c>
      <c r="C10" s="14">
        <f>(8325/B10*100)</f>
        <v>83.067252045499899</v>
      </c>
      <c r="D10" s="15">
        <v>1697</v>
      </c>
      <c r="E10" s="14">
        <v>17.10483825</v>
      </c>
      <c r="F10" s="16">
        <v>1.30319838</v>
      </c>
      <c r="G10" s="14">
        <v>82.89516175</v>
      </c>
      <c r="H10" s="16">
        <v>1.30319838</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(2937/B11*100)</f>
        <v>83.914285714285725</v>
      </c>
      <c r="D11" s="15">
        <v>563</v>
      </c>
      <c r="E11" s="14">
        <v>26.864230020000001</v>
      </c>
      <c r="F11" s="16">
        <v>2.1650591600000002</v>
      </c>
      <c r="G11" s="14">
        <v>73.135769980000006</v>
      </c>
      <c r="H11" s="16">
        <v>2.1650591600000002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(2840/B12*100)</f>
        <v>82.99240210403272</v>
      </c>
      <c r="D12" s="15">
        <v>582</v>
      </c>
      <c r="E12" s="14">
        <v>27.336497529999999</v>
      </c>
      <c r="F12" s="16">
        <v>2.2319030999999998</v>
      </c>
      <c r="G12" s="14">
        <v>72.663502469999997</v>
      </c>
      <c r="H12" s="16">
        <v>2.2319030999999998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(3022/B13*100)</f>
        <v>83.897834536368691</v>
      </c>
      <c r="D13" s="15">
        <v>580</v>
      </c>
      <c r="E13" s="14">
        <v>13.79108299</v>
      </c>
      <c r="F13" s="16">
        <v>1.59187838</v>
      </c>
      <c r="G13" s="14">
        <v>86.208917009999993</v>
      </c>
      <c r="H13" s="16">
        <v>1.59187838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16.137404790000001</v>
      </c>
      <c r="F14" s="16">
        <v>1.8186929700000001</v>
      </c>
      <c r="G14" s="14">
        <v>83.862595209999995</v>
      </c>
      <c r="H14" s="16">
        <v>1.8186929700000001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(2377/B15*100)</f>
        <v>83.024799161718477</v>
      </c>
      <c r="D15" s="15">
        <v>486</v>
      </c>
      <c r="E15" s="14">
        <v>10.812451510000001</v>
      </c>
      <c r="F15" s="16">
        <v>1.3945376899999999</v>
      </c>
      <c r="G15" s="14">
        <v>89.187548489999998</v>
      </c>
      <c r="H15" s="16">
        <v>1.3945376899999999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(2575/B16*100)</f>
        <v>82.770813243330124</v>
      </c>
      <c r="D16" s="15">
        <v>536</v>
      </c>
      <c r="E16" s="14">
        <v>22.949634020000001</v>
      </c>
      <c r="F16" s="16">
        <v>1.8931808299999999</v>
      </c>
      <c r="G16" s="14">
        <v>77.050365979999995</v>
      </c>
      <c r="H16" s="16">
        <v>1.8931808299999999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(2651/B17*100)</f>
        <v>82.921488895839843</v>
      </c>
      <c r="D17" s="15">
        <v>546</v>
      </c>
      <c r="E17" s="14">
        <v>31.65111228</v>
      </c>
      <c r="F17" s="16">
        <v>2.1967624699999999</v>
      </c>
      <c r="G17" s="14">
        <v>68.348887719999993</v>
      </c>
      <c r="H17" s="16">
        <v>2.1967624699999999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(2284/B18*100)</f>
        <v>84.405025868440504</v>
      </c>
      <c r="D18" s="15">
        <v>422</v>
      </c>
      <c r="E18" s="14">
        <v>28.46508146</v>
      </c>
      <c r="F18" s="16">
        <v>2.6650266999999999</v>
      </c>
      <c r="G18" s="14">
        <v>71.534918540000007</v>
      </c>
      <c r="H18" s="16">
        <v>2.6650266999999999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(2375/B19*100)</f>
        <v>83.333333333333343</v>
      </c>
      <c r="D19" s="15">
        <v>475</v>
      </c>
      <c r="E19" s="14">
        <v>29.048837549999998</v>
      </c>
      <c r="F19" s="16">
        <v>1.95269607</v>
      </c>
      <c r="G19" s="14">
        <v>70.951162449999998</v>
      </c>
      <c r="H19" s="16">
        <v>1.95269607</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(1463/B20*100)</f>
        <v>84.032165422171161</v>
      </c>
      <c r="D20" s="15">
        <v>278</v>
      </c>
      <c r="E20" s="14">
        <v>25.529958319999999</v>
      </c>
      <c r="F20" s="16">
        <v>2.6371003399999999</v>
      </c>
      <c r="G20" s="14">
        <v>74.470041679999994</v>
      </c>
      <c r="H20" s="16">
        <v>2.6371003399999999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(3127/B22*100)</f>
        <v>85.274065994000551</v>
      </c>
      <c r="D22" s="15">
        <v>540</v>
      </c>
      <c r="E22" s="14">
        <v>31.45493149</v>
      </c>
      <c r="F22" s="16">
        <v>2.1147440799999999</v>
      </c>
      <c r="G22" s="14">
        <v>68.545068509999993</v>
      </c>
      <c r="H22" s="16">
        <v>2.1147440799999999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(4825/B23*100)</f>
        <v>83.304558011049721</v>
      </c>
      <c r="D23" s="15">
        <v>967</v>
      </c>
      <c r="E23" s="14">
        <v>32.394957050000002</v>
      </c>
      <c r="F23" s="16">
        <v>2.1922567100000001</v>
      </c>
      <c r="G23" s="14">
        <v>67.605042949999998</v>
      </c>
      <c r="H23" s="16">
        <v>2.1922567100000001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(2719/B24*100)</f>
        <v>82.169839830764573</v>
      </c>
      <c r="D24" s="15">
        <v>590</v>
      </c>
      <c r="E24" s="14">
        <v>57.399517590000002</v>
      </c>
      <c r="F24" s="16">
        <v>1.9177069499999999</v>
      </c>
      <c r="G24" s="14">
        <v>42.600482409999998</v>
      </c>
      <c r="H24" s="16">
        <v>1.9177069499999999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41.461610520000001</v>
      </c>
      <c r="F25" s="16">
        <v>1.84956962</v>
      </c>
      <c r="G25" s="14">
        <v>58.538389479999999</v>
      </c>
      <c r="H25" s="16">
        <v>1.84956962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(2003/B26*100)</f>
        <v>82.802811078958243</v>
      </c>
      <c r="D26" s="15">
        <v>416</v>
      </c>
      <c r="E26" s="14">
        <v>28.316527780000001</v>
      </c>
      <c r="F26" s="16">
        <v>2.2509835499999999</v>
      </c>
      <c r="G26" s="14">
        <v>71.683472219999999</v>
      </c>
      <c r="H26" s="16">
        <v>2.2509835499999999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(2241/B27*100)</f>
        <v>83.52590383898621</v>
      </c>
      <c r="D27" s="15">
        <v>442</v>
      </c>
      <c r="E27" s="14">
        <v>31.57071732</v>
      </c>
      <c r="F27" s="16">
        <v>2.1700081099999999</v>
      </c>
      <c r="G27" s="14">
        <v>68.42928268</v>
      </c>
      <c r="H27" s="16">
        <v>2.1700081099999999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(3194/B28*100)</f>
        <v>83.986326584275574</v>
      </c>
      <c r="D28" s="15">
        <v>609</v>
      </c>
      <c r="E28" s="14">
        <v>30.214006640000001</v>
      </c>
      <c r="F28" s="16">
        <v>2.0404000500000001</v>
      </c>
      <c r="G28" s="14">
        <v>69.785993360000006</v>
      </c>
      <c r="H28" s="16">
        <v>2.0404000500000001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20.744146069999999</v>
      </c>
      <c r="F29" s="16">
        <v>1.7772443099999999</v>
      </c>
      <c r="G29" s="14">
        <v>79.255853930000001</v>
      </c>
      <c r="H29" s="16">
        <v>1.7772443099999999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(1892/B30*100)</f>
        <v>83.828090385467434</v>
      </c>
      <c r="D30" s="15">
        <v>365</v>
      </c>
      <c r="E30" s="14">
        <v>18.686718549999998</v>
      </c>
      <c r="F30" s="16">
        <v>1.76046024</v>
      </c>
      <c r="G30" s="14">
        <v>81.313281450000005</v>
      </c>
      <c r="H30" s="16">
        <v>1.76046024</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(2227/B31*100)</f>
        <v>82.298595713229858</v>
      </c>
      <c r="D31" s="15">
        <v>479</v>
      </c>
      <c r="E31" s="14">
        <v>12.27715525</v>
      </c>
      <c r="F31" s="16">
        <v>1.48892712</v>
      </c>
      <c r="G31" s="14">
        <v>87.722844749999993</v>
      </c>
      <c r="H31" s="16">
        <v>1.48892712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19.31178143</v>
      </c>
      <c r="F33" s="16">
        <v>1.9368616299999999</v>
      </c>
      <c r="G33" s="14">
        <v>80.688218570000004</v>
      </c>
      <c r="H33" s="16">
        <v>1.9368616299999999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(2572/B34*100)</f>
        <v>84.744645799011536</v>
      </c>
      <c r="D34" s="15">
        <v>463</v>
      </c>
      <c r="E34" s="14">
        <v>34.302544089999998</v>
      </c>
      <c r="F34" s="16">
        <v>2.202601</v>
      </c>
      <c r="G34" s="14">
        <v>65.697455910000002</v>
      </c>
      <c r="H34" s="16">
        <v>2.202601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(2417/B35*100)</f>
        <v>83.316097897276791</v>
      </c>
      <c r="D35" s="15">
        <v>484</v>
      </c>
      <c r="E35" s="14">
        <v>45.565295239999998</v>
      </c>
      <c r="F35" s="16">
        <v>2.9344642900000002</v>
      </c>
      <c r="G35" s="14">
        <v>54.434704760000002</v>
      </c>
      <c r="H35" s="16">
        <v>2.9344642900000002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27.49957182</v>
      </c>
      <c r="F36" s="16">
        <v>1.8595908299999999</v>
      </c>
      <c r="G36" s="14">
        <v>72.50042818</v>
      </c>
      <c r="H36" s="16">
        <v>1.8595908299999999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(2287/B37*100)</f>
        <v>83.742218967411205</v>
      </c>
      <c r="D37" s="15">
        <v>444</v>
      </c>
      <c r="E37" s="14">
        <v>22.61462787</v>
      </c>
      <c r="F37" s="16">
        <v>2.05867815</v>
      </c>
      <c r="G37" s="14">
        <v>77.385372129999993</v>
      </c>
      <c r="H37" s="16">
        <v>2.05867815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41.783135139999999</v>
      </c>
      <c r="F39" s="16">
        <v>2.3124486599999998</v>
      </c>
      <c r="G39" s="14">
        <v>58.216864860000001</v>
      </c>
      <c r="H39" s="16">
        <v>2.3124486599999998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(5711/B40*100)</f>
        <v>82.50505634209766</v>
      </c>
      <c r="D40" s="15">
        <v>1211</v>
      </c>
      <c r="E40" s="14">
        <v>25.720465310000002</v>
      </c>
      <c r="F40" s="16">
        <v>1.90754416</v>
      </c>
      <c r="G40" s="14">
        <v>74.279534690000006</v>
      </c>
      <c r="H40" s="16">
        <v>1.90754416</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(2392/B41*100)</f>
        <v>83.812193412754027</v>
      </c>
      <c r="D41" s="15">
        <v>462</v>
      </c>
      <c r="E41" s="14">
        <v>21.339457159999998</v>
      </c>
      <c r="F41" s="16">
        <v>1.95701558</v>
      </c>
      <c r="G41" s="14">
        <v>78.660542840000005</v>
      </c>
      <c r="H41" s="16">
        <v>1.95701558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83.358504234266036</v>
      </c>
      <c r="D42" s="15">
        <f>IF(COUNT(D7:D41) &gt; 0, AVERAGE(D7:D41), "—")</f>
        <v>602.21875</v>
      </c>
      <c r="E42" s="14">
        <f>IF(COUNT(E7:E41) &gt; 0, AVERAGE(E7:E41), "—")</f>
        <v>26.775865977500001</v>
      </c>
      <c r="F42" s="16">
        <f>IF(COUNT(F7:F41) &gt; 0, SQRT(SUMSQ(F7:F41)/(COUNT(F7:F41)*COUNT(F7:F41)) ), "—")</f>
        <v>0.35502580690428931</v>
      </c>
      <c r="G42" s="14">
        <f>IF(COUNT(G7:G41) &gt; 0, AVERAGE(G7:G41), "—")</f>
        <v>73.22413402250001</v>
      </c>
      <c r="H42" s="16">
        <f>IF(COUNT(H7:H41) &gt; 0, SQRT(SUMSQ(H7:H41)/(COUNT(H7:H41)*COUNT(H7:H41)) ), "—")</f>
        <v>0.35502580690428931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(10450/B46*100)</f>
        <v>86.556779590822501</v>
      </c>
      <c r="D46" s="15">
        <v>1623</v>
      </c>
      <c r="E46" s="14">
        <v>40.215603899999998</v>
      </c>
      <c r="F46" s="16">
        <v>1.66873224</v>
      </c>
      <c r="G46" s="14">
        <v>59.784396100000002</v>
      </c>
      <c r="H46" s="16">
        <v>1.66873224</v>
      </c>
      <c r="I46" s="14" t="s">
        <v>139</v>
      </c>
      <c r="J46" s="16" t="s">
        <v>139</v>
      </c>
      <c r="K46" s="14">
        <v>0</v>
      </c>
      <c r="L46" s="16">
        <v>0</v>
      </c>
      <c r="M46" s="14">
        <v>0</v>
      </c>
      <c r="N46" s="16">
        <v>0</v>
      </c>
      <c r="O46" s="14">
        <v>0</v>
      </c>
      <c r="P46" s="16">
        <v>0</v>
      </c>
      <c r="Q46" s="14">
        <v>0</v>
      </c>
      <c r="R46" s="16">
        <v>0</v>
      </c>
    </row>
    <row r="47" spans="1:18" x14ac:dyDescent="0.25">
      <c r="A47" s="11" t="s">
        <v>180</v>
      </c>
      <c r="B47" s="13">
        <v>2823</v>
      </c>
      <c r="C47" s="14">
        <f>(2347/B47*100)</f>
        <v>83.138505136379734</v>
      </c>
      <c r="D47" s="15">
        <v>476</v>
      </c>
      <c r="E47" s="14">
        <v>40.470694450000003</v>
      </c>
      <c r="F47" s="16">
        <v>2.6084892900000001</v>
      </c>
      <c r="G47" s="14">
        <v>59.529305549999997</v>
      </c>
      <c r="H47" s="16">
        <v>2.6084892900000001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(3885/B48*100)</f>
        <v>82.977360102520294</v>
      </c>
      <c r="D48" s="15">
        <v>797</v>
      </c>
      <c r="E48" s="14">
        <v>29.082931729999999</v>
      </c>
      <c r="F48" s="16">
        <v>2.0051364399999998</v>
      </c>
      <c r="G48" s="14">
        <v>70.917068270000001</v>
      </c>
      <c r="H48" s="16">
        <v>2.0051364399999998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(5172/B50*100)</f>
        <v>83.988307892172784</v>
      </c>
      <c r="D50" s="15">
        <v>986</v>
      </c>
      <c r="E50" s="14">
        <v>30.462213420000001</v>
      </c>
      <c r="F50" s="16">
        <v>1.8491763000000001</v>
      </c>
      <c r="G50" s="14">
        <v>69.537786580000002</v>
      </c>
      <c r="H50" s="16">
        <v>1.8491763000000001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(2986/B51*100)</f>
        <v>85.460789925586724</v>
      </c>
      <c r="D51" s="15">
        <v>508</v>
      </c>
      <c r="E51" s="14">
        <v>25.49934781</v>
      </c>
      <c r="F51" s="16">
        <v>1.87443016</v>
      </c>
      <c r="G51" s="14">
        <v>74.500652189999997</v>
      </c>
      <c r="H51" s="16">
        <v>1.87443016</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(2484/B52*100)</f>
        <v>82.44274809160305</v>
      </c>
      <c r="D52" s="15">
        <v>529</v>
      </c>
      <c r="E52" s="14">
        <v>19.164901050000001</v>
      </c>
      <c r="F52" s="16">
        <v>1.39640407</v>
      </c>
      <c r="G52" s="14">
        <v>80.835098950000003</v>
      </c>
      <c r="H52" s="16">
        <v>1.39640407</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(2295/B53*100)</f>
        <v>83.152173913043484</v>
      </c>
      <c r="D53" s="15">
        <v>465</v>
      </c>
      <c r="E53" s="14">
        <v>22.12213582</v>
      </c>
      <c r="F53" s="16">
        <v>1.98972533</v>
      </c>
      <c r="G53" s="14">
        <v>77.877864180000003</v>
      </c>
      <c r="H53" s="16">
        <v>1.98972533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13.53133856</v>
      </c>
      <c r="F56" s="16">
        <v>1.9336139400000001</v>
      </c>
      <c r="G56" s="14">
        <v>86.468661440000005</v>
      </c>
      <c r="H56" s="16">
        <v>1.9336139400000001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(2649/B61*100)</f>
        <v>82.755388940955953</v>
      </c>
      <c r="D61" s="15">
        <v>552</v>
      </c>
      <c r="E61" s="14">
        <v>25.99805022</v>
      </c>
      <c r="F61" s="16">
        <v>1.8103592100000001</v>
      </c>
      <c r="G61" s="14">
        <v>74.001949780000004</v>
      </c>
      <c r="H61" s="16">
        <v>1.8103592100000001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(1851/B62*100)</f>
        <v>83.004484304932731</v>
      </c>
      <c r="D62" s="15">
        <v>379</v>
      </c>
      <c r="E62" s="14">
        <v>18.171753800000001</v>
      </c>
      <c r="F62" s="16">
        <v>1.98568667</v>
      </c>
      <c r="G62" s="14">
        <v>81.828246199999995</v>
      </c>
      <c r="H62" s="16">
        <v>1.98568667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(2312/B66*100)</f>
        <v>83.435582822085891</v>
      </c>
      <c r="D66" s="15">
        <v>459</v>
      </c>
      <c r="E66" s="14">
        <v>31.28314481</v>
      </c>
      <c r="F66" s="16">
        <v>2.0828559499999999</v>
      </c>
      <c r="G66" s="14">
        <v>68.716855190000004</v>
      </c>
      <c r="H66" s="16">
        <v>2.0828559499999999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(2988/B67*100)</f>
        <v>86.358381502890168</v>
      </c>
      <c r="D67" s="15">
        <v>472</v>
      </c>
      <c r="E67" s="14">
        <v>36.322245950000003</v>
      </c>
      <c r="F67" s="16">
        <v>2.1377626900000002</v>
      </c>
      <c r="G67" s="14">
        <v>63.677754049999997</v>
      </c>
      <c r="H67" s="16">
        <v>2.1377626900000002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(2589/B70*100)</f>
        <v>83.32796910202768</v>
      </c>
      <c r="D70" s="15">
        <v>518</v>
      </c>
      <c r="E70" s="14">
        <v>29.749118639999999</v>
      </c>
      <c r="F70" s="16">
        <v>2.3301467100000002</v>
      </c>
      <c r="G70" s="14">
        <v>70.250881359999994</v>
      </c>
      <c r="H70" s="16">
        <v>2.3301467100000002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24.98777578</v>
      </c>
      <c r="F72" s="16">
        <v>1.7803951499999999</v>
      </c>
      <c r="G72" s="14">
        <v>75.012224219999993</v>
      </c>
      <c r="H72" s="16">
        <v>1.7803951499999999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(3910/B73*100)</f>
        <v>84.049871023215815</v>
      </c>
      <c r="D73" s="15">
        <v>742</v>
      </c>
      <c r="E73" s="14">
        <v>31.13662364</v>
      </c>
      <c r="F73" s="16">
        <v>2.2313721900000001</v>
      </c>
      <c r="G73" s="14">
        <v>68.863376360000004</v>
      </c>
      <c r="H73" s="16">
        <v>2.2313721900000001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52.14526266</v>
      </c>
      <c r="F75" s="16">
        <v>2.68478482</v>
      </c>
      <c r="G75" s="14">
        <v>47.85473734</v>
      </c>
      <c r="H75" s="16">
        <v>2.68478482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(5901/B76*100)</f>
        <v>82.937456078706958</v>
      </c>
      <c r="D76" s="15">
        <v>1214</v>
      </c>
      <c r="E76" s="14">
        <v>32.828516049999998</v>
      </c>
      <c r="F76" s="16">
        <v>1.5007202100000001</v>
      </c>
      <c r="G76" s="14">
        <v>67.171483949999995</v>
      </c>
      <c r="H76" s="16">
        <v>1.5007202100000001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(2634/B77*100)</f>
        <v>83.512999365884582</v>
      </c>
      <c r="D77" s="15">
        <v>520</v>
      </c>
      <c r="E77" s="14">
        <v>35.186458250000001</v>
      </c>
      <c r="F77" s="16">
        <v>2.29136878</v>
      </c>
      <c r="G77" s="14">
        <v>64.813541749999999</v>
      </c>
      <c r="H77" s="16">
        <v>2.29136878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(4520/B81*100)</f>
        <v>96.211153682418043</v>
      </c>
      <c r="D81" s="15">
        <v>178</v>
      </c>
      <c r="E81" s="14">
        <v>39.236921029999998</v>
      </c>
      <c r="F81" s="16">
        <v>4.0354349699999998</v>
      </c>
      <c r="G81" s="14">
        <v>60.763078970000002</v>
      </c>
      <c r="H81" s="16">
        <v>4.0354349699999998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(5985/B7*100)</f>
        <v>83.554376657824932</v>
      </c>
      <c r="D7" s="15">
        <v>1178</v>
      </c>
      <c r="E7" s="14">
        <v>15.461392780000001</v>
      </c>
      <c r="F7" s="16">
        <v>1.2994957700000001</v>
      </c>
      <c r="G7" s="14">
        <v>84.538607220000003</v>
      </c>
      <c r="H7" s="16">
        <v>1.2994957700000001</v>
      </c>
      <c r="I7" s="14" t="s">
        <v>139</v>
      </c>
      <c r="J7" s="16" t="s">
        <v>139</v>
      </c>
      <c r="K7" s="14">
        <v>0</v>
      </c>
      <c r="L7" s="16">
        <v>0</v>
      </c>
      <c r="M7" s="14">
        <v>0</v>
      </c>
      <c r="N7" s="16">
        <v>0</v>
      </c>
      <c r="O7" s="14">
        <v>0</v>
      </c>
      <c r="P7" s="16">
        <v>0</v>
      </c>
      <c r="Q7" s="14">
        <v>0</v>
      </c>
      <c r="R7" s="16">
        <v>0</v>
      </c>
    </row>
    <row r="8" spans="1:18" x14ac:dyDescent="0.25">
      <c r="A8" s="11" t="s">
        <v>140</v>
      </c>
      <c r="B8" s="13">
        <v>3443</v>
      </c>
      <c r="C8" s="14">
        <f>(2871/B8*100)</f>
        <v>83.386581469648561</v>
      </c>
      <c r="D8" s="15">
        <v>572</v>
      </c>
      <c r="E8" s="14">
        <v>14.28602236</v>
      </c>
      <c r="F8" s="16">
        <v>1.5251108499999999</v>
      </c>
      <c r="G8" s="14">
        <v>85.713977639999996</v>
      </c>
      <c r="H8" s="16">
        <v>1.5251108499999999</v>
      </c>
      <c r="I8" s="14" t="s">
        <v>139</v>
      </c>
      <c r="J8" s="16" t="s">
        <v>139</v>
      </c>
      <c r="K8" s="14">
        <v>0</v>
      </c>
      <c r="L8" s="16">
        <v>0</v>
      </c>
      <c r="M8" s="14">
        <v>0</v>
      </c>
      <c r="N8" s="16">
        <v>0</v>
      </c>
      <c r="O8" s="14">
        <v>0</v>
      </c>
      <c r="P8" s="16">
        <v>0</v>
      </c>
      <c r="Q8" s="14">
        <v>0</v>
      </c>
      <c r="R8" s="16">
        <v>0</v>
      </c>
    </row>
    <row r="9" spans="1:18" x14ac:dyDescent="0.25">
      <c r="A9" s="11" t="s">
        <v>141</v>
      </c>
      <c r="B9" s="13">
        <v>4752</v>
      </c>
      <c r="C9" s="14">
        <f>(3973/B9*100)</f>
        <v>83.606902356902353</v>
      </c>
      <c r="D9" s="15">
        <v>779</v>
      </c>
      <c r="E9" s="14">
        <v>20.839007809999998</v>
      </c>
      <c r="F9" s="16">
        <v>1.5361563499999999</v>
      </c>
      <c r="G9" s="14">
        <v>79.160992190000002</v>
      </c>
      <c r="H9" s="16">
        <v>1.5361563499999999</v>
      </c>
      <c r="I9" s="14" t="s">
        <v>139</v>
      </c>
      <c r="J9" s="16" t="s">
        <v>139</v>
      </c>
      <c r="K9" s="14">
        <v>0</v>
      </c>
      <c r="L9" s="16">
        <v>0</v>
      </c>
      <c r="M9" s="14">
        <v>0</v>
      </c>
      <c r="N9" s="16">
        <v>0</v>
      </c>
      <c r="O9" s="14">
        <v>0</v>
      </c>
      <c r="P9" s="16">
        <v>0</v>
      </c>
      <c r="Q9" s="14">
        <v>0</v>
      </c>
      <c r="R9" s="16">
        <v>0</v>
      </c>
    </row>
    <row r="10" spans="1:18" x14ac:dyDescent="0.25">
      <c r="A10" s="11" t="s">
        <v>142</v>
      </c>
      <c r="B10" s="13">
        <v>10022</v>
      </c>
      <c r="C10" s="14">
        <f>(8325/B10*100)</f>
        <v>83.067252045499899</v>
      </c>
      <c r="D10" s="15">
        <v>1697</v>
      </c>
      <c r="E10" s="14">
        <v>18.184228510000001</v>
      </c>
      <c r="F10" s="16">
        <v>1.3533427899999999</v>
      </c>
      <c r="G10" s="14">
        <v>81.815771490000003</v>
      </c>
      <c r="H10" s="16">
        <v>1.3533427899999999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(2937/B11*100)</f>
        <v>83.914285714285725</v>
      </c>
      <c r="D11" s="15">
        <v>563</v>
      </c>
      <c r="E11" s="14">
        <v>16.025241940000001</v>
      </c>
      <c r="F11" s="16">
        <v>1.7799284799999999</v>
      </c>
      <c r="G11" s="14">
        <v>83.974758059999999</v>
      </c>
      <c r="H11" s="16">
        <v>1.7799284799999999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(2840/B12*100)</f>
        <v>82.99240210403272</v>
      </c>
      <c r="D12" s="15">
        <v>582</v>
      </c>
      <c r="E12" s="14">
        <v>10.234661170000001</v>
      </c>
      <c r="F12" s="16">
        <v>1.54990535</v>
      </c>
      <c r="G12" s="14">
        <v>89.765338830000005</v>
      </c>
      <c r="H12" s="16">
        <v>1.54990535</v>
      </c>
      <c r="I12" s="14" t="s">
        <v>139</v>
      </c>
      <c r="J12" s="16" t="s">
        <v>139</v>
      </c>
      <c r="K12" s="14">
        <v>0</v>
      </c>
      <c r="L12" s="16">
        <v>0</v>
      </c>
      <c r="M12" s="14">
        <v>0</v>
      </c>
      <c r="N12" s="16">
        <v>0</v>
      </c>
      <c r="O12" s="14">
        <v>0</v>
      </c>
      <c r="P12" s="16">
        <v>0</v>
      </c>
      <c r="Q12" s="14">
        <v>0</v>
      </c>
      <c r="R12" s="16">
        <v>0</v>
      </c>
    </row>
    <row r="13" spans="1:18" x14ac:dyDescent="0.25">
      <c r="A13" s="11" t="s">
        <v>145</v>
      </c>
      <c r="B13" s="13">
        <v>3602</v>
      </c>
      <c r="C13" s="14">
        <f>(3022/B13*100)</f>
        <v>83.897834536368691</v>
      </c>
      <c r="D13" s="15">
        <v>580</v>
      </c>
      <c r="E13" s="14">
        <v>19.74780715</v>
      </c>
      <c r="F13" s="16">
        <v>1.88161446</v>
      </c>
      <c r="G13" s="14">
        <v>80.25219285</v>
      </c>
      <c r="H13" s="16">
        <v>1.88161446</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12.189296179999999</v>
      </c>
      <c r="F14" s="16">
        <v>1.5929126899999999</v>
      </c>
      <c r="G14" s="14">
        <v>87.810703820000001</v>
      </c>
      <c r="H14" s="16">
        <v>1.5929126899999999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(2377/B15*100)</f>
        <v>83.024799161718477</v>
      </c>
      <c r="D15" s="15">
        <v>486</v>
      </c>
      <c r="E15" s="14">
        <v>1.50746712</v>
      </c>
      <c r="F15" s="16">
        <v>0.51425213999999997</v>
      </c>
      <c r="G15" s="14">
        <v>4.5201934399999999</v>
      </c>
      <c r="H15" s="16">
        <v>1.26817519</v>
      </c>
      <c r="I15" s="14" t="s">
        <v>139</v>
      </c>
      <c r="J15" s="16" t="s">
        <v>139</v>
      </c>
      <c r="K15" s="14">
        <v>0</v>
      </c>
      <c r="L15" s="16">
        <v>0</v>
      </c>
      <c r="M15" s="14">
        <v>93.972339439999999</v>
      </c>
      <c r="N15" s="16">
        <v>1.62580342</v>
      </c>
      <c r="O15" s="14">
        <v>0</v>
      </c>
      <c r="P15" s="16">
        <v>0</v>
      </c>
      <c r="Q15" s="14">
        <v>0</v>
      </c>
      <c r="R15" s="16">
        <v>0</v>
      </c>
    </row>
    <row r="16" spans="1:18" x14ac:dyDescent="0.25">
      <c r="A16" s="11" t="s">
        <v>148</v>
      </c>
      <c r="B16" s="13">
        <v>3111</v>
      </c>
      <c r="C16" s="14">
        <f>(2575/B16*100)</f>
        <v>82.770813243330124</v>
      </c>
      <c r="D16" s="15">
        <v>536</v>
      </c>
      <c r="E16" s="14">
        <v>26.375693699999999</v>
      </c>
      <c r="F16" s="16">
        <v>2.0135698899999999</v>
      </c>
      <c r="G16" s="14">
        <v>73.624306300000001</v>
      </c>
      <c r="H16" s="16">
        <v>2.0135698899999999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(2651/B17*100)</f>
        <v>82.921488895839843</v>
      </c>
      <c r="D17" s="15">
        <v>546</v>
      </c>
      <c r="E17" s="14">
        <v>10.63853671</v>
      </c>
      <c r="F17" s="16">
        <v>1.37938008</v>
      </c>
      <c r="G17" s="14">
        <v>89.361463290000003</v>
      </c>
      <c r="H17" s="16">
        <v>1.37938008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(2284/B18*100)</f>
        <v>84.405025868440504</v>
      </c>
      <c r="D18" s="15">
        <v>422</v>
      </c>
      <c r="E18" s="14">
        <v>17.890870020000001</v>
      </c>
      <c r="F18" s="16">
        <v>2.0903562199999999</v>
      </c>
      <c r="G18" s="14">
        <v>82.109129980000006</v>
      </c>
      <c r="H18" s="16">
        <v>2.0903562199999999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(2375/B19*100)</f>
        <v>83.333333333333343</v>
      </c>
      <c r="D19" s="15">
        <v>475</v>
      </c>
      <c r="E19" s="14">
        <v>13.288401049999999</v>
      </c>
      <c r="F19" s="16">
        <v>1.54285436</v>
      </c>
      <c r="G19" s="14">
        <v>86.711598949999996</v>
      </c>
      <c r="H19" s="16">
        <v>1.54285436</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(1463/B20*100)</f>
        <v>84.032165422171161</v>
      </c>
      <c r="D20" s="15">
        <v>278</v>
      </c>
      <c r="E20" s="14">
        <v>16.563260360000001</v>
      </c>
      <c r="F20" s="16">
        <v>2.22006361</v>
      </c>
      <c r="G20" s="14">
        <v>83.436739639999999</v>
      </c>
      <c r="H20" s="16">
        <v>2.22006361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(3127/B22*100)</f>
        <v>85.274065994000551</v>
      </c>
      <c r="D22" s="15">
        <v>540</v>
      </c>
      <c r="E22" s="14">
        <v>22.170325519999999</v>
      </c>
      <c r="F22" s="16">
        <v>1.86131644</v>
      </c>
      <c r="G22" s="14">
        <v>77.829674479999994</v>
      </c>
      <c r="H22" s="16">
        <v>1.86131644</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(4825/B23*100)</f>
        <v>83.304558011049721</v>
      </c>
      <c r="D23" s="15">
        <v>967</v>
      </c>
      <c r="E23" s="14">
        <v>15.222561710000001</v>
      </c>
      <c r="F23" s="16">
        <v>1.5165871399999999</v>
      </c>
      <c r="G23" s="14">
        <v>84.777438290000006</v>
      </c>
      <c r="H23" s="16">
        <v>1.5165871399999999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(2719/B24*100)</f>
        <v>82.169839830764573</v>
      </c>
      <c r="D24" s="15">
        <v>590</v>
      </c>
      <c r="E24" s="14">
        <v>17.070625159999999</v>
      </c>
      <c r="F24" s="16">
        <v>1.6698004399999999</v>
      </c>
      <c r="G24" s="14">
        <v>82.929374839999994</v>
      </c>
      <c r="H24" s="16">
        <v>1.6698004399999999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14.92678372</v>
      </c>
      <c r="F25" s="16">
        <v>1.8367572700000001</v>
      </c>
      <c r="G25" s="14">
        <v>85.073216279999997</v>
      </c>
      <c r="H25" s="16">
        <v>1.8367572700000001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(2003/B26*100)</f>
        <v>82.802811078958243</v>
      </c>
      <c r="D26" s="15">
        <v>416</v>
      </c>
      <c r="E26" s="14">
        <v>10.09868385</v>
      </c>
      <c r="F26" s="16">
        <v>1.57190378</v>
      </c>
      <c r="G26" s="14">
        <v>89.90131615</v>
      </c>
      <c r="H26" s="16">
        <v>1.57190378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(2241/B27*100)</f>
        <v>83.52590383898621</v>
      </c>
      <c r="D27" s="15">
        <v>442</v>
      </c>
      <c r="E27" s="14">
        <v>15.15528772</v>
      </c>
      <c r="F27" s="16">
        <v>1.6363921699999999</v>
      </c>
      <c r="G27" s="14">
        <v>84.844712279999996</v>
      </c>
      <c r="H27" s="16">
        <v>1.6363921699999999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(3194/B28*100)</f>
        <v>83.986326584275574</v>
      </c>
      <c r="D28" s="15">
        <v>609</v>
      </c>
      <c r="E28" s="14">
        <v>21.699345910000002</v>
      </c>
      <c r="F28" s="16">
        <v>2.03571634</v>
      </c>
      <c r="G28" s="14">
        <v>78.300654089999995</v>
      </c>
      <c r="H28" s="16">
        <v>2.03571634</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19.254614249999999</v>
      </c>
      <c r="F29" s="16">
        <v>2.0128792199999999</v>
      </c>
      <c r="G29" s="14">
        <v>80.745385749999997</v>
      </c>
      <c r="H29" s="16">
        <v>2.0128792199999999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(1892/B30*100)</f>
        <v>83.828090385467434</v>
      </c>
      <c r="D30" s="15">
        <v>365</v>
      </c>
      <c r="E30" s="14">
        <v>15.34167126</v>
      </c>
      <c r="F30" s="16">
        <v>2.30244406</v>
      </c>
      <c r="G30" s="14">
        <v>84.658328740000002</v>
      </c>
      <c r="H30" s="16">
        <v>2.30244406</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(2227/B31*100)</f>
        <v>82.298595713229858</v>
      </c>
      <c r="D31" s="15">
        <v>479</v>
      </c>
      <c r="E31" s="14">
        <v>26.795534400000001</v>
      </c>
      <c r="F31" s="16">
        <v>2.2323797299999999</v>
      </c>
      <c r="G31" s="14">
        <v>73.204465600000006</v>
      </c>
      <c r="H31" s="16">
        <v>2.2323797299999999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17.911942490000001</v>
      </c>
      <c r="F33" s="16">
        <v>2.1187073600000002</v>
      </c>
      <c r="G33" s="14">
        <v>82.088057509999999</v>
      </c>
      <c r="H33" s="16">
        <v>2.1187073600000002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(2572/B34*100)</f>
        <v>84.744645799011536</v>
      </c>
      <c r="D34" s="15">
        <v>463</v>
      </c>
      <c r="E34" s="14">
        <v>13.31976287</v>
      </c>
      <c r="F34" s="16">
        <v>1.8050542599999999</v>
      </c>
      <c r="G34" s="14">
        <v>86.680237129999995</v>
      </c>
      <c r="H34" s="16">
        <v>1.8050542599999999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(2417/B35*100)</f>
        <v>83.316097897276791</v>
      </c>
      <c r="D35" s="15">
        <v>484</v>
      </c>
      <c r="E35" s="14">
        <v>11.764831940000001</v>
      </c>
      <c r="F35" s="16">
        <v>2.0089029799999998</v>
      </c>
      <c r="G35" s="14">
        <v>88.235168060000007</v>
      </c>
      <c r="H35" s="16">
        <v>2.0089029799999998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15.140993</v>
      </c>
      <c r="F36" s="16">
        <v>1.68671346</v>
      </c>
      <c r="G36" s="14">
        <v>84.859007000000005</v>
      </c>
      <c r="H36" s="16">
        <v>1.68671346</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(2287/B37*100)</f>
        <v>83.742218967411205</v>
      </c>
      <c r="D37" s="15">
        <v>444</v>
      </c>
      <c r="E37" s="14">
        <v>22.891797019999998</v>
      </c>
      <c r="F37" s="16">
        <v>2.1446839299999998</v>
      </c>
      <c r="G37" s="14">
        <v>77.108202980000002</v>
      </c>
      <c r="H37" s="16">
        <v>2.1446839299999998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24.048189900000001</v>
      </c>
      <c r="F39" s="16">
        <v>1.5536981400000001</v>
      </c>
      <c r="G39" s="14">
        <v>75.951810100000003</v>
      </c>
      <c r="H39" s="16">
        <v>1.5536981400000001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(5711/B40*100)</f>
        <v>82.50505634209766</v>
      </c>
      <c r="D40" s="15">
        <v>1211</v>
      </c>
      <c r="E40" s="14">
        <v>18.827084240000001</v>
      </c>
      <c r="F40" s="16">
        <v>1.3836880499999999</v>
      </c>
      <c r="G40" s="14">
        <v>81.172915759999995</v>
      </c>
      <c r="H40" s="16">
        <v>1.3836880499999999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(2392/B41*100)</f>
        <v>83.812193412754027</v>
      </c>
      <c r="D41" s="15">
        <v>462</v>
      </c>
      <c r="E41" s="14">
        <v>18.320202120000001</v>
      </c>
      <c r="F41" s="16">
        <v>1.93295354</v>
      </c>
      <c r="G41" s="14">
        <v>81.679797879999995</v>
      </c>
      <c r="H41" s="16">
        <v>1.93295354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83.358504234266036</v>
      </c>
      <c r="D42" s="15">
        <f>IF(COUNT(D7:D41) &gt; 0, AVERAGE(D7:D41), "—")</f>
        <v>602.21875</v>
      </c>
      <c r="E42" s="14">
        <f>IF(COUNT(E7:E41) &gt; 0, AVERAGE(E7:E41), "—")</f>
        <v>16.662253873124996</v>
      </c>
      <c r="F42" s="16">
        <f>IF(COUNT(F7:F41) &gt; 0, SQRT(SUMSQ(F7:F41)/(COUNT(F7:F41)*COUNT(F7:F41)) ), "—")</f>
        <v>0.31344002951284172</v>
      </c>
      <c r="G42" s="14">
        <f>IF(COUNT(G7:G41) &gt; 0, AVERAGE(G7:G41), "—")</f>
        <v>80.401110519374981</v>
      </c>
      <c r="H42" s="16">
        <f>IF(COUNT(H7:H41) &gt; 0, SQRT(SUMSQ(H7:H41)/(COUNT(H7:H41)*COUNT(H7:H41)) ), "—")</f>
        <v>0.31552649576812286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2.9366356075</v>
      </c>
      <c r="N42" s="16">
        <f>IF(COUNT(N7:N41) &gt; 0, SQRT(SUMSQ(N7:N41)/(COUNT(N7:N41)*COUNT(N7:N41)) ), "—")</f>
        <v>5.0806356875E-2</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(10450/B46*100)</f>
        <v>86.556779590822501</v>
      </c>
      <c r="D46" s="15">
        <v>1623</v>
      </c>
      <c r="E46" s="14">
        <v>25.916157680000001</v>
      </c>
      <c r="F46" s="16">
        <v>1.5965465000000001</v>
      </c>
      <c r="G46" s="14">
        <v>74.083842320000002</v>
      </c>
      <c r="H46" s="16">
        <v>1.5965465000000001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(2347/B47*100)</f>
        <v>83.138505136379734</v>
      </c>
      <c r="D47" s="15">
        <v>476</v>
      </c>
      <c r="E47" s="14">
        <v>16.206991349999999</v>
      </c>
      <c r="F47" s="16">
        <v>1.74827847</v>
      </c>
      <c r="G47" s="14">
        <v>83.793008650000004</v>
      </c>
      <c r="H47" s="16">
        <v>1.74827847</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(3885/B48*100)</f>
        <v>82.977360102520294</v>
      </c>
      <c r="D48" s="15">
        <v>797</v>
      </c>
      <c r="E48" s="14">
        <v>18.33067758</v>
      </c>
      <c r="F48" s="16">
        <v>1.8266362199999999</v>
      </c>
      <c r="G48" s="14">
        <v>81.66932242</v>
      </c>
      <c r="H48" s="16">
        <v>1.8266362199999999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(5172/B50*100)</f>
        <v>83.988307892172784</v>
      </c>
      <c r="D50" s="15">
        <v>986</v>
      </c>
      <c r="E50" s="14">
        <v>18.10367119</v>
      </c>
      <c r="F50" s="16">
        <v>1.5423893799999999</v>
      </c>
      <c r="G50" s="14">
        <v>81.89632881</v>
      </c>
      <c r="H50" s="16">
        <v>1.5423893799999999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(2986/B51*100)</f>
        <v>85.460789925586724</v>
      </c>
      <c r="D51" s="15">
        <v>508</v>
      </c>
      <c r="E51" s="14">
        <v>15.27284854</v>
      </c>
      <c r="F51" s="16">
        <v>1.4910427500000001</v>
      </c>
      <c r="G51" s="14">
        <v>84.727151460000002</v>
      </c>
      <c r="H51" s="16">
        <v>1.4910427500000001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(2484/B52*100)</f>
        <v>82.44274809160305</v>
      </c>
      <c r="D52" s="15">
        <v>529</v>
      </c>
      <c r="E52" s="14">
        <v>12.7238209</v>
      </c>
      <c r="F52" s="16">
        <v>1.56839744</v>
      </c>
      <c r="G52" s="14">
        <v>87.276179099999993</v>
      </c>
      <c r="H52" s="16">
        <v>1.56839744</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(2295/B53*100)</f>
        <v>83.152173913043484</v>
      </c>
      <c r="D53" s="15">
        <v>465</v>
      </c>
      <c r="E53" s="14">
        <v>23.050978499999999</v>
      </c>
      <c r="F53" s="16">
        <v>2.0563501099999999</v>
      </c>
      <c r="G53" s="14">
        <v>76.949021500000001</v>
      </c>
      <c r="H53" s="16">
        <v>2.0563501099999999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16.580543240000001</v>
      </c>
      <c r="F56" s="16">
        <v>1.67329997</v>
      </c>
      <c r="G56" s="14">
        <v>83.419456760000003</v>
      </c>
      <c r="H56" s="16">
        <v>1.67329997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(2649/B61*100)</f>
        <v>82.755388940955953</v>
      </c>
      <c r="D61" s="15">
        <v>552</v>
      </c>
      <c r="E61" s="14">
        <v>11.85215889</v>
      </c>
      <c r="F61" s="16">
        <v>1.40943872</v>
      </c>
      <c r="G61" s="14">
        <v>88.147841110000002</v>
      </c>
      <c r="H61" s="16">
        <v>1.40943872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(1851/B62*100)</f>
        <v>83.004484304932731</v>
      </c>
      <c r="D62" s="15">
        <v>379</v>
      </c>
      <c r="E62" s="14">
        <v>11.610293370000001</v>
      </c>
      <c r="F62" s="16">
        <v>1.7003842</v>
      </c>
      <c r="G62" s="14">
        <v>88.389706630000006</v>
      </c>
      <c r="H62" s="16">
        <v>1.7003842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(2312/B66*100)</f>
        <v>83.435582822085891</v>
      </c>
      <c r="D66" s="15">
        <v>459</v>
      </c>
      <c r="E66" s="14">
        <v>19.69256356</v>
      </c>
      <c r="F66" s="16">
        <v>1.73526501</v>
      </c>
      <c r="G66" s="14">
        <v>80.307436440000004</v>
      </c>
      <c r="H66" s="16">
        <v>1.73526501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(2988/B67*100)</f>
        <v>86.358381502890168</v>
      </c>
      <c r="D67" s="15">
        <v>472</v>
      </c>
      <c r="E67" s="14">
        <v>16.359032060000001</v>
      </c>
      <c r="F67" s="16">
        <v>1.8897257599999999</v>
      </c>
      <c r="G67" s="14">
        <v>83.640967939999996</v>
      </c>
      <c r="H67" s="16">
        <v>1.8897257599999999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(2589/B70*100)</f>
        <v>83.32796910202768</v>
      </c>
      <c r="D70" s="15">
        <v>518</v>
      </c>
      <c r="E70" s="14">
        <v>13.010532749999999</v>
      </c>
      <c r="F70" s="16">
        <v>1.6724448300000001</v>
      </c>
      <c r="G70" s="14">
        <v>86.989467250000004</v>
      </c>
      <c r="H70" s="16">
        <v>1.6724448300000001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16.431952509999999</v>
      </c>
      <c r="F72" s="16">
        <v>1.5231600999999999</v>
      </c>
      <c r="G72" s="14">
        <v>83.568047489999998</v>
      </c>
      <c r="H72" s="16">
        <v>1.5231600999999999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(3910/B73*100)</f>
        <v>84.049871023215815</v>
      </c>
      <c r="D73" s="15">
        <v>742</v>
      </c>
      <c r="E73" s="14">
        <v>21.193690799999999</v>
      </c>
      <c r="F73" s="16">
        <v>1.9351884500000001</v>
      </c>
      <c r="G73" s="14">
        <v>78.806309200000001</v>
      </c>
      <c r="H73" s="16">
        <v>1.9351884500000001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36.727283890000002</v>
      </c>
      <c r="F75" s="16">
        <v>2.3762003100000002</v>
      </c>
      <c r="G75" s="14">
        <v>63.272716109999998</v>
      </c>
      <c r="H75" s="16">
        <v>2.3762003100000002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(5901/B76*100)</f>
        <v>82.937456078706958</v>
      </c>
      <c r="D76" s="15">
        <v>1214</v>
      </c>
      <c r="E76" s="14">
        <v>22.505444109999999</v>
      </c>
      <c r="F76" s="16">
        <v>1.1145931499999999</v>
      </c>
      <c r="G76" s="14">
        <v>77.494555890000001</v>
      </c>
      <c r="H76" s="16">
        <v>1.1145931499999999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(2634/B77*100)</f>
        <v>83.512999365884582</v>
      </c>
      <c r="D77" s="15">
        <v>520</v>
      </c>
      <c r="E77" s="14">
        <v>21.75509607</v>
      </c>
      <c r="F77" s="16">
        <v>1.7631694899999999</v>
      </c>
      <c r="G77" s="14">
        <v>78.244903930000007</v>
      </c>
      <c r="H77" s="16">
        <v>1.7631694899999999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(4520/B81*100)</f>
        <v>96.211153682418043</v>
      </c>
      <c r="D81" s="15">
        <v>178</v>
      </c>
      <c r="E81" s="14">
        <v>14.50656354</v>
      </c>
      <c r="F81" s="16">
        <v>3.2138663699999999</v>
      </c>
      <c r="G81" s="14">
        <v>85.493436459999998</v>
      </c>
      <c r="H81" s="16">
        <v>3.2138663699999999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(5985/B7*100)</f>
        <v>83.554376657824932</v>
      </c>
      <c r="D7" s="15">
        <v>1178</v>
      </c>
      <c r="E7" s="14">
        <v>20.15328864</v>
      </c>
      <c r="F7" s="16">
        <v>1.36273596</v>
      </c>
      <c r="G7" s="14">
        <v>79.84671136</v>
      </c>
      <c r="H7" s="16">
        <v>1.36273596</v>
      </c>
      <c r="I7" s="14" t="s">
        <v>139</v>
      </c>
      <c r="J7" s="16" t="s">
        <v>139</v>
      </c>
      <c r="K7" s="14">
        <v>0</v>
      </c>
      <c r="L7" s="16">
        <v>0</v>
      </c>
      <c r="M7" s="14">
        <v>0</v>
      </c>
      <c r="N7" s="16">
        <v>0</v>
      </c>
      <c r="O7" s="14">
        <v>0</v>
      </c>
      <c r="P7" s="16">
        <v>0</v>
      </c>
      <c r="Q7" s="14">
        <v>0</v>
      </c>
      <c r="R7" s="16">
        <v>0</v>
      </c>
    </row>
    <row r="8" spans="1:18" x14ac:dyDescent="0.25">
      <c r="A8" s="11" t="s">
        <v>140</v>
      </c>
      <c r="B8" s="13">
        <v>3443</v>
      </c>
      <c r="C8" s="14">
        <f>(2871/B8*100)</f>
        <v>83.386581469648561</v>
      </c>
      <c r="D8" s="15">
        <v>572</v>
      </c>
      <c r="E8" s="14">
        <v>25.942740109999999</v>
      </c>
      <c r="F8" s="16">
        <v>1.8504741899999999</v>
      </c>
      <c r="G8" s="14">
        <v>74.057259889999997</v>
      </c>
      <c r="H8" s="16">
        <v>1.8504741899999999</v>
      </c>
      <c r="I8" s="14" t="s">
        <v>139</v>
      </c>
      <c r="J8" s="16" t="s">
        <v>139</v>
      </c>
      <c r="K8" s="14">
        <v>0</v>
      </c>
      <c r="L8" s="16">
        <v>0</v>
      </c>
      <c r="M8" s="14">
        <v>0</v>
      </c>
      <c r="N8" s="16">
        <v>0</v>
      </c>
      <c r="O8" s="14">
        <v>0</v>
      </c>
      <c r="P8" s="16">
        <v>0</v>
      </c>
      <c r="Q8" s="14">
        <v>0</v>
      </c>
      <c r="R8" s="16">
        <v>0</v>
      </c>
    </row>
    <row r="9" spans="1:18" x14ac:dyDescent="0.25">
      <c r="A9" s="11" t="s">
        <v>141</v>
      </c>
      <c r="B9" s="13">
        <v>4752</v>
      </c>
      <c r="C9" s="14">
        <f>(3973/B9*100)</f>
        <v>83.606902356902353</v>
      </c>
      <c r="D9" s="15">
        <v>779</v>
      </c>
      <c r="E9" s="14">
        <v>20.82099328</v>
      </c>
      <c r="F9" s="16">
        <v>1.3243513899999999</v>
      </c>
      <c r="G9" s="14">
        <v>79.179006720000004</v>
      </c>
      <c r="H9" s="16">
        <v>1.3243513899999999</v>
      </c>
      <c r="I9" s="14" t="s">
        <v>139</v>
      </c>
      <c r="J9" s="16" t="s">
        <v>139</v>
      </c>
      <c r="K9" s="14">
        <v>0</v>
      </c>
      <c r="L9" s="16">
        <v>0</v>
      </c>
      <c r="M9" s="14">
        <v>0</v>
      </c>
      <c r="N9" s="16">
        <v>0</v>
      </c>
      <c r="O9" s="14">
        <v>0</v>
      </c>
      <c r="P9" s="16">
        <v>0</v>
      </c>
      <c r="Q9" s="14">
        <v>0</v>
      </c>
      <c r="R9" s="16">
        <v>0</v>
      </c>
    </row>
    <row r="10" spans="1:18" x14ac:dyDescent="0.25">
      <c r="A10" s="11" t="s">
        <v>142</v>
      </c>
      <c r="B10" s="13">
        <v>10022</v>
      </c>
      <c r="C10" s="14">
        <f>(8325/B10*100)</f>
        <v>83.067252045499899</v>
      </c>
      <c r="D10" s="15">
        <v>1697</v>
      </c>
      <c r="E10" s="14">
        <v>16.557637320000001</v>
      </c>
      <c r="F10" s="16">
        <v>1.27865758</v>
      </c>
      <c r="G10" s="14">
        <v>83.442362680000002</v>
      </c>
      <c r="H10" s="16">
        <v>1.27865758</v>
      </c>
      <c r="I10" s="14" t="s">
        <v>139</v>
      </c>
      <c r="J10" s="16" t="s">
        <v>139</v>
      </c>
      <c r="K10" s="14">
        <v>0</v>
      </c>
      <c r="L10" s="16">
        <v>0</v>
      </c>
      <c r="M10" s="14">
        <v>0</v>
      </c>
      <c r="N10" s="16">
        <v>0</v>
      </c>
      <c r="O10" s="14">
        <v>0</v>
      </c>
      <c r="P10" s="16">
        <v>0</v>
      </c>
      <c r="Q10" s="14">
        <v>0</v>
      </c>
      <c r="R10" s="16">
        <v>0</v>
      </c>
    </row>
    <row r="11" spans="1:18" x14ac:dyDescent="0.25">
      <c r="A11" s="11" t="s">
        <v>143</v>
      </c>
      <c r="B11" s="13">
        <v>3500</v>
      </c>
      <c r="C11" s="14">
        <f>(2937/B11*100)</f>
        <v>83.914285714285725</v>
      </c>
      <c r="D11" s="15">
        <v>563</v>
      </c>
      <c r="E11" s="14">
        <v>38.076549129999997</v>
      </c>
      <c r="F11" s="16">
        <v>2.3568981899999999</v>
      </c>
      <c r="G11" s="14">
        <v>61.923450870000003</v>
      </c>
      <c r="H11" s="16">
        <v>2.3568981899999999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(2840/B12*100)</f>
        <v>82.99240210403272</v>
      </c>
      <c r="D12" s="15">
        <v>582</v>
      </c>
      <c r="E12" s="14">
        <v>21.48674145</v>
      </c>
      <c r="F12" s="16">
        <v>2.0038128099999999</v>
      </c>
      <c r="G12" s="14">
        <v>78.513258550000003</v>
      </c>
      <c r="H12" s="16">
        <v>2.0038128099999999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(3022/B13*100)</f>
        <v>83.897834536368691</v>
      </c>
      <c r="D13" s="15">
        <v>580</v>
      </c>
      <c r="E13" s="14">
        <v>38.880417719999997</v>
      </c>
      <c r="F13" s="16">
        <v>2.0567843400000001</v>
      </c>
      <c r="G13" s="14">
        <v>61.119582280000003</v>
      </c>
      <c r="H13" s="16">
        <v>2.0567843400000001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(2313/B14*100)</f>
        <v>82.962697274031555</v>
      </c>
      <c r="D14" s="15">
        <v>475</v>
      </c>
      <c r="E14" s="14">
        <v>19.881408929999999</v>
      </c>
      <c r="F14" s="16">
        <v>2.0555449800000001</v>
      </c>
      <c r="G14" s="14">
        <v>80.118591069999994</v>
      </c>
      <c r="H14" s="16">
        <v>2.0555449800000001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(2377/B15*100)</f>
        <v>83.024799161718477</v>
      </c>
      <c r="D15" s="15">
        <v>486</v>
      </c>
      <c r="E15" s="14">
        <v>13.89013119</v>
      </c>
      <c r="F15" s="16">
        <v>1.7178380900000001</v>
      </c>
      <c r="G15" s="14">
        <v>86.109868809999995</v>
      </c>
      <c r="H15" s="16">
        <v>1.7178380900000001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(2575/B16*100)</f>
        <v>82.770813243330124</v>
      </c>
      <c r="D16" s="15">
        <v>536</v>
      </c>
      <c r="E16" s="14">
        <v>22.901223160000001</v>
      </c>
      <c r="F16" s="16">
        <v>1.96854383</v>
      </c>
      <c r="G16" s="14">
        <v>77.098776839999999</v>
      </c>
      <c r="H16" s="16">
        <v>1.96854383</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(2651/B17*100)</f>
        <v>82.921488895839843</v>
      </c>
      <c r="D17" s="15">
        <v>546</v>
      </c>
      <c r="E17" s="14">
        <v>27.91594302</v>
      </c>
      <c r="F17" s="16">
        <v>1.7943017400000001</v>
      </c>
      <c r="G17" s="14">
        <v>72.08405698</v>
      </c>
      <c r="H17" s="16">
        <v>1.7943017400000001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(2284/B18*100)</f>
        <v>84.405025868440504</v>
      </c>
      <c r="D18" s="15">
        <v>422</v>
      </c>
      <c r="E18" s="14">
        <v>42.812347010000003</v>
      </c>
      <c r="F18" s="16">
        <v>2.2719497299999998</v>
      </c>
      <c r="G18" s="14">
        <v>57.187652989999997</v>
      </c>
      <c r="H18" s="16">
        <v>2.2719497299999998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(2375/B19*100)</f>
        <v>83.333333333333343</v>
      </c>
      <c r="D19" s="15">
        <v>475</v>
      </c>
      <c r="E19" s="14">
        <v>31.476128209999999</v>
      </c>
      <c r="F19" s="16">
        <v>2.7645228999999998</v>
      </c>
      <c r="G19" s="14">
        <v>68.523871790000001</v>
      </c>
      <c r="H19" s="16">
        <v>2.7645228999999998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(1463/B20*100)</f>
        <v>84.032165422171161</v>
      </c>
      <c r="D20" s="15">
        <v>278</v>
      </c>
      <c r="E20" s="14">
        <v>25.526543369999999</v>
      </c>
      <c r="F20" s="16">
        <v>3.0465320999999999</v>
      </c>
      <c r="G20" s="14">
        <v>74.473456630000001</v>
      </c>
      <c r="H20" s="16">
        <v>3.0465320999999999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(3127/B22*100)</f>
        <v>85.274065994000551</v>
      </c>
      <c r="D22" s="15">
        <v>540</v>
      </c>
      <c r="E22" s="14">
        <v>33.006520000000002</v>
      </c>
      <c r="F22" s="16">
        <v>2.1668961499999999</v>
      </c>
      <c r="G22" s="14">
        <v>66.993480000000005</v>
      </c>
      <c r="H22" s="16">
        <v>2.1668961499999999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(4825/B23*100)</f>
        <v>83.304558011049721</v>
      </c>
      <c r="D23" s="15">
        <v>967</v>
      </c>
      <c r="E23" s="14">
        <v>25.772751970000002</v>
      </c>
      <c r="F23" s="16">
        <v>2.3436134000000002</v>
      </c>
      <c r="G23" s="14">
        <v>74.227248029999998</v>
      </c>
      <c r="H23" s="16">
        <v>2.3436134000000002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(2719/B24*100)</f>
        <v>82.169839830764573</v>
      </c>
      <c r="D24" s="15">
        <v>590</v>
      </c>
      <c r="E24" s="14">
        <v>21.95506863</v>
      </c>
      <c r="F24" s="16">
        <v>1.72462008</v>
      </c>
      <c r="G24" s="14">
        <v>78.04493137</v>
      </c>
      <c r="H24" s="16">
        <v>1.72462008</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22.277725929999999</v>
      </c>
      <c r="F25" s="16">
        <v>2.10418416</v>
      </c>
      <c r="G25" s="14">
        <v>77.722274069999997</v>
      </c>
      <c r="H25" s="16">
        <v>2.10418416</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(2003/B26*100)</f>
        <v>82.802811078958243</v>
      </c>
      <c r="D26" s="15">
        <v>416</v>
      </c>
      <c r="E26" s="14">
        <v>32.819828180000002</v>
      </c>
      <c r="F26" s="16">
        <v>2.60024005</v>
      </c>
      <c r="G26" s="14">
        <v>67.180171819999998</v>
      </c>
      <c r="H26" s="16">
        <v>2.60024005</v>
      </c>
      <c r="I26" s="14" t="s">
        <v>139</v>
      </c>
      <c r="J26" s="16" t="s">
        <v>139</v>
      </c>
      <c r="K26" s="14">
        <v>0</v>
      </c>
      <c r="L26" s="16">
        <v>0</v>
      </c>
      <c r="M26" s="14">
        <v>0</v>
      </c>
      <c r="N26" s="16">
        <v>0</v>
      </c>
      <c r="O26" s="14">
        <v>0</v>
      </c>
      <c r="P26" s="16">
        <v>0</v>
      </c>
      <c r="Q26" s="14">
        <v>0</v>
      </c>
      <c r="R26" s="16">
        <v>0</v>
      </c>
    </row>
    <row r="27" spans="1:18" x14ac:dyDescent="0.25">
      <c r="A27" s="11" t="s">
        <v>160</v>
      </c>
      <c r="B27" s="13">
        <v>2683</v>
      </c>
      <c r="C27" s="14">
        <f>(2241/B27*100)</f>
        <v>83.52590383898621</v>
      </c>
      <c r="D27" s="15">
        <v>442</v>
      </c>
      <c r="E27" s="14">
        <v>30.163702740000002</v>
      </c>
      <c r="F27" s="16">
        <v>2.1261188500000001</v>
      </c>
      <c r="G27" s="14">
        <v>69.836297259999995</v>
      </c>
      <c r="H27" s="16">
        <v>2.1261188500000001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(3194/B28*100)</f>
        <v>83.986326584275574</v>
      </c>
      <c r="D28" s="15">
        <v>609</v>
      </c>
      <c r="E28" s="14">
        <v>44.065396790000001</v>
      </c>
      <c r="F28" s="16">
        <v>2.3283518000000001</v>
      </c>
      <c r="G28" s="14">
        <v>55.934603209999999</v>
      </c>
      <c r="H28" s="16">
        <v>2.3283518000000001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21.72664614</v>
      </c>
      <c r="F29" s="16">
        <v>1.86324109</v>
      </c>
      <c r="G29" s="14">
        <v>78.27335386</v>
      </c>
      <c r="H29" s="16">
        <v>1.86324109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(1892/B30*100)</f>
        <v>83.828090385467434</v>
      </c>
      <c r="D30" s="15">
        <v>365</v>
      </c>
      <c r="E30" s="14">
        <v>17.906609230000001</v>
      </c>
      <c r="F30" s="16">
        <v>2.2378404999999999</v>
      </c>
      <c r="G30" s="14">
        <v>82.093390769999999</v>
      </c>
      <c r="H30" s="16">
        <v>2.2378404999999999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(2227/B31*100)</f>
        <v>82.298595713229858</v>
      </c>
      <c r="D31" s="15">
        <v>479</v>
      </c>
      <c r="E31" s="14">
        <v>30.344627559999999</v>
      </c>
      <c r="F31" s="16">
        <v>1.9454297599999999</v>
      </c>
      <c r="G31" s="14">
        <v>69.655372439999994</v>
      </c>
      <c r="H31" s="16">
        <v>1.9454297599999999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(3037/B33*100)</f>
        <v>83.182689674061905</v>
      </c>
      <c r="D33" s="15">
        <v>614</v>
      </c>
      <c r="E33" s="14">
        <v>22.838904419999999</v>
      </c>
      <c r="F33" s="16">
        <v>1.86077998</v>
      </c>
      <c r="G33" s="14">
        <v>77.161095579999994</v>
      </c>
      <c r="H33" s="16">
        <v>1.86077998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(2572/B34*100)</f>
        <v>84.744645799011536</v>
      </c>
      <c r="D34" s="15">
        <v>463</v>
      </c>
      <c r="E34" s="14">
        <v>32.53323288</v>
      </c>
      <c r="F34" s="16">
        <v>2.4052274499999999</v>
      </c>
      <c r="G34" s="14">
        <v>67.46676712</v>
      </c>
      <c r="H34" s="16">
        <v>2.4052274499999999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(2417/B35*100)</f>
        <v>83.316097897276791</v>
      </c>
      <c r="D35" s="15">
        <v>484</v>
      </c>
      <c r="E35" s="14">
        <v>20.385389880000002</v>
      </c>
      <c r="F35" s="16">
        <v>2.3833664200000002</v>
      </c>
      <c r="G35" s="14">
        <v>79.614610119999995</v>
      </c>
      <c r="H35" s="16">
        <v>2.3833664200000002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(2823/B36*100)</f>
        <v>82.931844888366626</v>
      </c>
      <c r="D36" s="15">
        <v>581</v>
      </c>
      <c r="E36" s="14">
        <v>19.97756296</v>
      </c>
      <c r="F36" s="16">
        <v>1.8988163499999999</v>
      </c>
      <c r="G36" s="14">
        <v>80.02243704</v>
      </c>
      <c r="H36" s="16">
        <v>1.8988163499999999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(2287/B37*100)</f>
        <v>83.742218967411205</v>
      </c>
      <c r="D37" s="15">
        <v>444</v>
      </c>
      <c r="E37" s="14">
        <v>20.580103959999999</v>
      </c>
      <c r="F37" s="16">
        <v>1.9438277100000001</v>
      </c>
      <c r="G37" s="14">
        <v>79.419896039999998</v>
      </c>
      <c r="H37" s="16">
        <v>1.9438277100000001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72.248785670000004</v>
      </c>
      <c r="F39" s="16">
        <v>2.0760643700000001</v>
      </c>
      <c r="G39" s="14">
        <v>27.75121433</v>
      </c>
      <c r="H39" s="16">
        <v>2.0760643700000001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(5711/B40*100)</f>
        <v>82.50505634209766</v>
      </c>
      <c r="D40" s="15">
        <v>1211</v>
      </c>
      <c r="E40" s="14">
        <v>23.657150519999998</v>
      </c>
      <c r="F40" s="16">
        <v>1.94833916</v>
      </c>
      <c r="G40" s="14">
        <v>76.342849479999998</v>
      </c>
      <c r="H40" s="16">
        <v>1.94833916</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(2392/B41*100)</f>
        <v>83.812193412754027</v>
      </c>
      <c r="D41" s="15">
        <v>462</v>
      </c>
      <c r="E41" s="14">
        <v>21.92804551</v>
      </c>
      <c r="F41" s="16">
        <v>2.0179737800000002</v>
      </c>
      <c r="G41" s="14">
        <v>78.071954489999996</v>
      </c>
      <c r="H41" s="16">
        <v>2.0179737800000002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83.358504234266036</v>
      </c>
      <c r="D42" s="15">
        <f>IF(COUNT(D7:D41) &gt; 0, AVERAGE(D7:D41), "—")</f>
        <v>602.21875</v>
      </c>
      <c r="E42" s="14">
        <f>IF(COUNT(E7:E41) &gt; 0, AVERAGE(E7:E41), "—")</f>
        <v>27.515942047187497</v>
      </c>
      <c r="F42" s="16">
        <f>IF(COUNT(F7:F41) &gt; 0, SQRT(SUMSQ(F7:F41)/(COUNT(F7:F41)*COUNT(F7:F41)) ), "—")</f>
        <v>0.36958950628614329</v>
      </c>
      <c r="G42" s="14">
        <f>IF(COUNT(G7:G41) &gt; 0, AVERAGE(G7:G41), "—")</f>
        <v>72.484057952812492</v>
      </c>
      <c r="H42" s="16">
        <f>IF(COUNT(H7:H41) &gt; 0, SQRT(SUMSQ(H7:H41)/(COUNT(H7:H41)*COUNT(H7:H41)) ), "—")</f>
        <v>0.36958950628614329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(10450/B46*100)</f>
        <v>86.556779590822501</v>
      </c>
      <c r="D46" s="15">
        <v>1623</v>
      </c>
      <c r="E46" s="14">
        <v>48.697254800000003</v>
      </c>
      <c r="F46" s="16">
        <v>1.6460808</v>
      </c>
      <c r="G46" s="14">
        <v>51.302745199999997</v>
      </c>
      <c r="H46" s="16">
        <v>1.6460808</v>
      </c>
      <c r="I46" s="14" t="s">
        <v>139</v>
      </c>
      <c r="J46" s="16" t="s">
        <v>139</v>
      </c>
      <c r="K46" s="14">
        <v>0</v>
      </c>
      <c r="L46" s="16">
        <v>0</v>
      </c>
      <c r="M46" s="14">
        <v>0</v>
      </c>
      <c r="N46" s="16">
        <v>0</v>
      </c>
      <c r="O46" s="14">
        <v>0</v>
      </c>
      <c r="P46" s="16">
        <v>0</v>
      </c>
      <c r="Q46" s="14">
        <v>0</v>
      </c>
      <c r="R46" s="16">
        <v>0</v>
      </c>
    </row>
    <row r="47" spans="1:18" x14ac:dyDescent="0.25">
      <c r="A47" s="11" t="s">
        <v>180</v>
      </c>
      <c r="B47" s="13">
        <v>2823</v>
      </c>
      <c r="C47" s="14">
        <f>(2347/B47*100)</f>
        <v>83.138505136379734</v>
      </c>
      <c r="D47" s="15">
        <v>476</v>
      </c>
      <c r="E47" s="14">
        <v>43.183904089999999</v>
      </c>
      <c r="F47" s="16">
        <v>2.5881842700000002</v>
      </c>
      <c r="G47" s="14">
        <v>56.816095910000001</v>
      </c>
      <c r="H47" s="16">
        <v>2.5881842700000002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(3885/B48*100)</f>
        <v>82.977360102520294</v>
      </c>
      <c r="D48" s="15">
        <v>797</v>
      </c>
      <c r="E48" s="14">
        <v>30.781394030000001</v>
      </c>
      <c r="F48" s="16">
        <v>2.3330432700000001</v>
      </c>
      <c r="G48" s="14">
        <v>69.218605969999999</v>
      </c>
      <c r="H48" s="16">
        <v>2.3330432700000001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(5172/B50*100)</f>
        <v>83.988307892172784</v>
      </c>
      <c r="D50" s="15">
        <v>986</v>
      </c>
      <c r="E50" s="14">
        <v>42.122154709999997</v>
      </c>
      <c r="F50" s="16">
        <v>2.3352177099999998</v>
      </c>
      <c r="G50" s="14">
        <v>57.877845290000003</v>
      </c>
      <c r="H50" s="16">
        <v>2.3352177099999998</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(2986/B51*100)</f>
        <v>85.460789925586724</v>
      </c>
      <c r="D51" s="15">
        <v>508</v>
      </c>
      <c r="E51" s="14">
        <v>33.574545980000003</v>
      </c>
      <c r="F51" s="16">
        <v>2.2952907599999999</v>
      </c>
      <c r="G51" s="14">
        <v>66.425454020000004</v>
      </c>
      <c r="H51" s="16">
        <v>2.2952907599999999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(2484/B52*100)</f>
        <v>82.44274809160305</v>
      </c>
      <c r="D52" s="15">
        <v>529</v>
      </c>
      <c r="E52" s="14">
        <v>42.791079969999998</v>
      </c>
      <c r="F52" s="16">
        <v>2.2779608699999998</v>
      </c>
      <c r="G52" s="14">
        <v>57.208920030000002</v>
      </c>
      <c r="H52" s="16">
        <v>2.2779608699999998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(2295/B53*100)</f>
        <v>83.152173913043484</v>
      </c>
      <c r="D53" s="15">
        <v>465</v>
      </c>
      <c r="E53" s="14">
        <v>51.523349340000003</v>
      </c>
      <c r="F53" s="16">
        <v>2.1760163700000001</v>
      </c>
      <c r="G53" s="14">
        <v>48.476650659999997</v>
      </c>
      <c r="H53" s="16">
        <v>2.1760163700000001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18.353041609999998</v>
      </c>
      <c r="F56" s="16">
        <v>1.7770220000000001</v>
      </c>
      <c r="G56" s="14">
        <v>81.646958389999995</v>
      </c>
      <c r="H56" s="16">
        <v>1.7770220000000001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(2649/B61*100)</f>
        <v>82.755388940955953</v>
      </c>
      <c r="D61" s="15">
        <v>552</v>
      </c>
      <c r="E61" s="14">
        <v>30.20741963</v>
      </c>
      <c r="F61" s="16">
        <v>2.2199893500000001</v>
      </c>
      <c r="G61" s="14">
        <v>69.792580369999996</v>
      </c>
      <c r="H61" s="16">
        <v>2.2199893500000001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(1851/B62*100)</f>
        <v>83.004484304932731</v>
      </c>
      <c r="D62" s="15">
        <v>379</v>
      </c>
      <c r="E62" s="14">
        <v>18.222915459999999</v>
      </c>
      <c r="F62" s="16">
        <v>1.7604730799999999</v>
      </c>
      <c r="G62" s="14">
        <v>81.777084540000004</v>
      </c>
      <c r="H62" s="16">
        <v>1.7604730799999999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(2312/B66*100)</f>
        <v>83.435582822085891</v>
      </c>
      <c r="D66" s="15">
        <v>459</v>
      </c>
      <c r="E66" s="14">
        <v>64.082760800000003</v>
      </c>
      <c r="F66" s="16">
        <v>2.0838376200000002</v>
      </c>
      <c r="G66" s="14">
        <v>35.917239199999997</v>
      </c>
      <c r="H66" s="16">
        <v>2.0838376200000002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(2988/B67*100)</f>
        <v>86.358381502890168</v>
      </c>
      <c r="D67" s="15">
        <v>472</v>
      </c>
      <c r="E67" s="14">
        <v>49.490463560000002</v>
      </c>
      <c r="F67" s="16">
        <v>2.5501094700000002</v>
      </c>
      <c r="G67" s="14">
        <v>50.509536439999998</v>
      </c>
      <c r="H67" s="16">
        <v>2.5501094700000002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(2589/B70*100)</f>
        <v>83.32796910202768</v>
      </c>
      <c r="D70" s="15">
        <v>518</v>
      </c>
      <c r="E70" s="14">
        <v>49.37257898</v>
      </c>
      <c r="F70" s="16">
        <v>2.7387908300000001</v>
      </c>
      <c r="G70" s="14">
        <v>50.62742102</v>
      </c>
      <c r="H70" s="16">
        <v>2.7387908300000001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23.989466650000001</v>
      </c>
      <c r="F72" s="16">
        <v>1.7278674199999999</v>
      </c>
      <c r="G72" s="14">
        <v>76.010533350000003</v>
      </c>
      <c r="H72" s="16">
        <v>1.7278674199999999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(3910/B73*100)</f>
        <v>84.049871023215815</v>
      </c>
      <c r="D73" s="15">
        <v>742</v>
      </c>
      <c r="E73" s="14">
        <v>38.811229310000002</v>
      </c>
      <c r="F73" s="16">
        <v>1.93336318</v>
      </c>
      <c r="G73" s="14">
        <v>61.188770689999998</v>
      </c>
      <c r="H73" s="16">
        <v>1.93336318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59.720410200000003</v>
      </c>
      <c r="F75" s="16">
        <v>2.52271475</v>
      </c>
      <c r="G75" s="14">
        <v>40.279589799999997</v>
      </c>
      <c r="H75" s="16">
        <v>2.52271475</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(5901/B76*100)</f>
        <v>82.937456078706958</v>
      </c>
      <c r="D76" s="15">
        <v>1214</v>
      </c>
      <c r="E76" s="14">
        <v>40.891139619999997</v>
      </c>
      <c r="F76" s="16">
        <v>1.87384525</v>
      </c>
      <c r="G76" s="14">
        <v>59.108860380000003</v>
      </c>
      <c r="H76" s="16">
        <v>1.87384525</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(2634/B77*100)</f>
        <v>83.512999365884582</v>
      </c>
      <c r="D77" s="15">
        <v>520</v>
      </c>
      <c r="E77" s="14">
        <v>40.533950599999997</v>
      </c>
      <c r="F77" s="16">
        <v>2.2764369599999998</v>
      </c>
      <c r="G77" s="14">
        <v>59.466049400000003</v>
      </c>
      <c r="H77" s="16">
        <v>2.2764369599999998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(4520/B81*100)</f>
        <v>96.211153682418043</v>
      </c>
      <c r="D81" s="15">
        <v>178</v>
      </c>
      <c r="E81" s="14">
        <v>38.18675975</v>
      </c>
      <c r="F81" s="16">
        <v>4.7725457899999997</v>
      </c>
      <c r="G81" s="14">
        <v>61.81324025</v>
      </c>
      <c r="H81" s="16">
        <v>4.7725457899999997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X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26" t="s">
        <v>122</v>
      </c>
      <c r="B1" s="23"/>
      <c r="C1" s="23"/>
      <c r="D1" s="23"/>
      <c r="E1" s="23"/>
      <c r="F1" s="23"/>
      <c r="G1" s="23"/>
      <c r="H1" s="23"/>
      <c r="I1" s="23"/>
      <c r="J1" s="23"/>
      <c r="K1" s="23"/>
      <c r="L1" s="23"/>
      <c r="M1" s="23"/>
      <c r="N1" s="23"/>
      <c r="O1" s="23"/>
      <c r="P1" s="23"/>
      <c r="Q1" s="23"/>
      <c r="R1" s="23"/>
      <c r="S1" s="23"/>
      <c r="T1" s="23"/>
      <c r="U1" s="23"/>
      <c r="V1" s="23"/>
      <c r="W1" s="23"/>
      <c r="X1" s="23"/>
    </row>
    <row r="2" spans="1:24" x14ac:dyDescent="0.25">
      <c r="A2" s="27" t="s">
        <v>298</v>
      </c>
      <c r="B2" s="23"/>
      <c r="C2" s="23"/>
      <c r="D2" s="23"/>
      <c r="E2" s="23"/>
      <c r="F2" s="23"/>
      <c r="G2" s="23"/>
      <c r="H2" s="23"/>
      <c r="I2" s="23"/>
      <c r="J2" s="23"/>
      <c r="K2" s="23"/>
      <c r="L2" s="23"/>
      <c r="M2" s="23"/>
      <c r="N2" s="23"/>
      <c r="O2" s="23"/>
      <c r="P2" s="23"/>
      <c r="Q2" s="23"/>
      <c r="R2" s="23"/>
      <c r="S2" s="23"/>
      <c r="T2" s="23"/>
      <c r="U2" s="23"/>
      <c r="V2" s="23"/>
      <c r="W2" s="23"/>
      <c r="X2" s="23"/>
    </row>
    <row r="4" spans="1:24" ht="30" customHeight="1" x14ac:dyDescent="0.25">
      <c r="A4" s="4"/>
      <c r="B4" s="5" t="s">
        <v>123</v>
      </c>
      <c r="C4" s="5" t="s">
        <v>124</v>
      </c>
      <c r="D4" s="6" t="s">
        <v>123</v>
      </c>
      <c r="E4" s="24" t="s">
        <v>229</v>
      </c>
      <c r="F4" s="25"/>
      <c r="G4" s="24" t="s">
        <v>230</v>
      </c>
      <c r="H4" s="25"/>
      <c r="I4" s="24" t="s">
        <v>231</v>
      </c>
      <c r="J4" s="25"/>
      <c r="K4" s="24" t="s">
        <v>235</v>
      </c>
      <c r="L4" s="25"/>
      <c r="M4" s="24" t="s">
        <v>232</v>
      </c>
      <c r="N4" s="25"/>
      <c r="O4" s="24" t="s">
        <v>127</v>
      </c>
      <c r="P4" s="25"/>
      <c r="Q4" s="24" t="s">
        <v>128</v>
      </c>
      <c r="R4" s="25"/>
      <c r="S4" s="24" t="s">
        <v>129</v>
      </c>
      <c r="T4" s="25"/>
      <c r="U4" s="24" t="s">
        <v>130</v>
      </c>
      <c r="V4" s="25"/>
      <c r="W4" s="24" t="s">
        <v>131</v>
      </c>
      <c r="X4" s="25"/>
    </row>
    <row r="5" spans="1:24"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c r="W5" s="8" t="s">
        <v>135</v>
      </c>
      <c r="X5" s="7" t="s">
        <v>136</v>
      </c>
    </row>
    <row r="6" spans="1:24" x14ac:dyDescent="0.25">
      <c r="A6" s="9" t="s">
        <v>137</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138</v>
      </c>
      <c r="B7" s="13">
        <v>7163</v>
      </c>
      <c r="C7" s="14">
        <f>(5985/B7*100)</f>
        <v>83.554376657824932</v>
      </c>
      <c r="D7" s="15">
        <v>1178</v>
      </c>
      <c r="E7" s="14">
        <v>3.6384039800000001</v>
      </c>
      <c r="F7" s="16">
        <v>0.60674720999999998</v>
      </c>
      <c r="G7" s="14">
        <v>6.4769588200000001</v>
      </c>
      <c r="H7" s="16">
        <v>0.76303781999999998</v>
      </c>
      <c r="I7" s="14">
        <v>20.113236709999999</v>
      </c>
      <c r="J7" s="16">
        <v>1.1494876300000001</v>
      </c>
      <c r="K7" s="14">
        <v>20.741285550000001</v>
      </c>
      <c r="L7" s="16">
        <v>1.4210106899999999</v>
      </c>
      <c r="M7" s="14">
        <v>49.030114939999997</v>
      </c>
      <c r="N7" s="16">
        <v>1.6825137699999999</v>
      </c>
      <c r="O7" s="14" t="s">
        <v>139</v>
      </c>
      <c r="P7" s="16" t="s">
        <v>139</v>
      </c>
      <c r="Q7" s="14">
        <v>0</v>
      </c>
      <c r="R7" s="16">
        <v>0</v>
      </c>
      <c r="S7" s="14">
        <v>0</v>
      </c>
      <c r="T7" s="16">
        <v>0</v>
      </c>
      <c r="U7" s="14">
        <v>0</v>
      </c>
      <c r="V7" s="16">
        <v>0</v>
      </c>
      <c r="W7" s="14">
        <v>0</v>
      </c>
      <c r="X7" s="16">
        <v>0</v>
      </c>
    </row>
    <row r="8" spans="1:24" x14ac:dyDescent="0.25">
      <c r="A8" s="11" t="s">
        <v>140</v>
      </c>
      <c r="B8" s="13">
        <v>3443</v>
      </c>
      <c r="C8" s="14">
        <f>(2871/B8*100)</f>
        <v>83.386581469648561</v>
      </c>
      <c r="D8" s="15">
        <v>572</v>
      </c>
      <c r="E8" s="14">
        <v>3.5282365499999999</v>
      </c>
      <c r="F8" s="16">
        <v>0.84190774000000002</v>
      </c>
      <c r="G8" s="14">
        <v>5.3109166800000001</v>
      </c>
      <c r="H8" s="16">
        <v>0.91729435000000004</v>
      </c>
      <c r="I8" s="14">
        <v>13.04463438</v>
      </c>
      <c r="J8" s="16">
        <v>1.3633436400000001</v>
      </c>
      <c r="K8" s="14">
        <v>11.89611146</v>
      </c>
      <c r="L8" s="16">
        <v>1.36272204</v>
      </c>
      <c r="M8" s="14">
        <v>66.220100939999995</v>
      </c>
      <c r="N8" s="16">
        <v>2.1481563299999999</v>
      </c>
      <c r="O8" s="14" t="s">
        <v>139</v>
      </c>
      <c r="P8" s="16" t="s">
        <v>139</v>
      </c>
      <c r="Q8" s="14">
        <v>0</v>
      </c>
      <c r="R8" s="16">
        <v>0</v>
      </c>
      <c r="S8" s="14">
        <v>0</v>
      </c>
      <c r="T8" s="16">
        <v>0</v>
      </c>
      <c r="U8" s="14">
        <v>0</v>
      </c>
      <c r="V8" s="16">
        <v>0</v>
      </c>
      <c r="W8" s="14">
        <v>0</v>
      </c>
      <c r="X8" s="16">
        <v>0</v>
      </c>
    </row>
    <row r="9" spans="1:24" x14ac:dyDescent="0.25">
      <c r="A9" s="11" t="s">
        <v>141</v>
      </c>
      <c r="B9" s="13">
        <v>4752</v>
      </c>
      <c r="C9" s="14">
        <f>(3973/B9*100)</f>
        <v>83.606902356902353</v>
      </c>
      <c r="D9" s="15">
        <v>779</v>
      </c>
      <c r="E9" s="14">
        <v>5.5318424200000003</v>
      </c>
      <c r="F9" s="16">
        <v>0.99202252000000002</v>
      </c>
      <c r="G9" s="14">
        <v>6.3419158400000004</v>
      </c>
      <c r="H9" s="16">
        <v>0.90587958999999996</v>
      </c>
      <c r="I9" s="14">
        <v>18.26781836</v>
      </c>
      <c r="J9" s="16">
        <v>1.48352726</v>
      </c>
      <c r="K9" s="14">
        <v>16.63573169</v>
      </c>
      <c r="L9" s="16">
        <v>1.1562089900000001</v>
      </c>
      <c r="M9" s="14">
        <v>53.222691689999998</v>
      </c>
      <c r="N9" s="16">
        <v>1.77642981</v>
      </c>
      <c r="O9" s="14" t="s">
        <v>139</v>
      </c>
      <c r="P9" s="16" t="s">
        <v>139</v>
      </c>
      <c r="Q9" s="14">
        <v>0</v>
      </c>
      <c r="R9" s="16">
        <v>0</v>
      </c>
      <c r="S9" s="14">
        <v>0</v>
      </c>
      <c r="T9" s="16">
        <v>0</v>
      </c>
      <c r="U9" s="14">
        <v>0</v>
      </c>
      <c r="V9" s="16">
        <v>0</v>
      </c>
      <c r="W9" s="14">
        <v>0</v>
      </c>
      <c r="X9" s="16">
        <v>0</v>
      </c>
    </row>
    <row r="10" spans="1:24" x14ac:dyDescent="0.25">
      <c r="A10" s="11" t="s">
        <v>142</v>
      </c>
      <c r="B10" s="13">
        <v>10022</v>
      </c>
      <c r="C10" s="14">
        <f>(8325/B10*100)</f>
        <v>83.067252045499899</v>
      </c>
      <c r="D10" s="15">
        <v>1697</v>
      </c>
      <c r="E10" s="14">
        <v>2.71032158</v>
      </c>
      <c r="F10" s="16">
        <v>0.60727067999999995</v>
      </c>
      <c r="G10" s="14">
        <v>7.7299272500000002</v>
      </c>
      <c r="H10" s="16">
        <v>0.88655925999999996</v>
      </c>
      <c r="I10" s="14">
        <v>22.020141020000001</v>
      </c>
      <c r="J10" s="16">
        <v>1.3900789600000001</v>
      </c>
      <c r="K10" s="14">
        <v>19.059916510000001</v>
      </c>
      <c r="L10" s="16">
        <v>1.08601763</v>
      </c>
      <c r="M10" s="14">
        <v>48.479693640000001</v>
      </c>
      <c r="N10" s="16">
        <v>1.79295396</v>
      </c>
      <c r="O10" s="14" t="s">
        <v>139</v>
      </c>
      <c r="P10" s="16" t="s">
        <v>139</v>
      </c>
      <c r="Q10" s="14">
        <v>0</v>
      </c>
      <c r="R10" s="16">
        <v>0</v>
      </c>
      <c r="S10" s="14">
        <v>0</v>
      </c>
      <c r="T10" s="16">
        <v>0</v>
      </c>
      <c r="U10" s="14">
        <v>0</v>
      </c>
      <c r="V10" s="16">
        <v>0</v>
      </c>
      <c r="W10" s="14">
        <v>0</v>
      </c>
      <c r="X10" s="16">
        <v>0</v>
      </c>
    </row>
    <row r="11" spans="1:24" x14ac:dyDescent="0.25">
      <c r="A11" s="11" t="s">
        <v>143</v>
      </c>
      <c r="B11" s="13">
        <v>3500</v>
      </c>
      <c r="C11" s="14">
        <f>(2937/B11*100)</f>
        <v>83.914285714285725</v>
      </c>
      <c r="D11" s="15">
        <v>563</v>
      </c>
      <c r="E11" s="14">
        <v>12.76671125</v>
      </c>
      <c r="F11" s="16">
        <v>2.0574839800000002</v>
      </c>
      <c r="G11" s="14">
        <v>7.2601248700000003</v>
      </c>
      <c r="H11" s="16">
        <v>1.3693896699999999</v>
      </c>
      <c r="I11" s="14">
        <v>20.78057484</v>
      </c>
      <c r="J11" s="16">
        <v>2.0574676799999998</v>
      </c>
      <c r="K11" s="14">
        <v>20.631937749999999</v>
      </c>
      <c r="L11" s="16">
        <v>2.1350697099999998</v>
      </c>
      <c r="M11" s="14">
        <v>38.560651280000002</v>
      </c>
      <c r="N11" s="16">
        <v>2.06392431</v>
      </c>
      <c r="O11" s="14" t="s">
        <v>139</v>
      </c>
      <c r="P11" s="16" t="s">
        <v>139</v>
      </c>
      <c r="Q11" s="14">
        <v>0</v>
      </c>
      <c r="R11" s="16">
        <v>0</v>
      </c>
      <c r="S11" s="14">
        <v>0</v>
      </c>
      <c r="T11" s="16">
        <v>0</v>
      </c>
      <c r="U11" s="14">
        <v>0</v>
      </c>
      <c r="V11" s="16">
        <v>0</v>
      </c>
      <c r="W11" s="14">
        <v>0</v>
      </c>
      <c r="X11" s="16">
        <v>0</v>
      </c>
    </row>
    <row r="12" spans="1:24" x14ac:dyDescent="0.25">
      <c r="A12" s="11" t="s">
        <v>144</v>
      </c>
      <c r="B12" s="13">
        <v>3422</v>
      </c>
      <c r="C12" s="14">
        <f>(2840/B12*100)</f>
        <v>82.99240210403272</v>
      </c>
      <c r="D12" s="15">
        <v>582</v>
      </c>
      <c r="E12" s="14">
        <v>6.1519285799999999</v>
      </c>
      <c r="F12" s="16">
        <v>1.19629417</v>
      </c>
      <c r="G12" s="14">
        <v>4.2852905100000003</v>
      </c>
      <c r="H12" s="16">
        <v>1.17687078</v>
      </c>
      <c r="I12" s="14">
        <v>14.83570314</v>
      </c>
      <c r="J12" s="16">
        <v>1.75745566</v>
      </c>
      <c r="K12" s="14">
        <v>19.19050446</v>
      </c>
      <c r="L12" s="16">
        <v>2.27532303</v>
      </c>
      <c r="M12" s="14">
        <v>55.536573300000001</v>
      </c>
      <c r="N12" s="16">
        <v>2.4090692699999998</v>
      </c>
      <c r="O12" s="14" t="s">
        <v>139</v>
      </c>
      <c r="P12" s="16" t="s">
        <v>139</v>
      </c>
      <c r="Q12" s="14">
        <v>0</v>
      </c>
      <c r="R12" s="16">
        <v>0</v>
      </c>
      <c r="S12" s="14">
        <v>0</v>
      </c>
      <c r="T12" s="16">
        <v>0</v>
      </c>
      <c r="U12" s="14">
        <v>0</v>
      </c>
      <c r="V12" s="16">
        <v>0</v>
      </c>
      <c r="W12" s="14">
        <v>0</v>
      </c>
      <c r="X12" s="16">
        <v>0</v>
      </c>
    </row>
    <row r="13" spans="1:24" x14ac:dyDescent="0.25">
      <c r="A13" s="11" t="s">
        <v>145</v>
      </c>
      <c r="B13" s="13">
        <v>3602</v>
      </c>
      <c r="C13" s="14">
        <f>(3022/B13*100)</f>
        <v>83.897834536368691</v>
      </c>
      <c r="D13" s="15">
        <v>580</v>
      </c>
      <c r="E13" s="14">
        <v>2.5348177600000001</v>
      </c>
      <c r="F13" s="16">
        <v>0.71444114999999997</v>
      </c>
      <c r="G13" s="14">
        <v>6.3347135799999998</v>
      </c>
      <c r="H13" s="16">
        <v>1.1074555399999999</v>
      </c>
      <c r="I13" s="14">
        <v>17.164294049999999</v>
      </c>
      <c r="J13" s="16">
        <v>1.71743359</v>
      </c>
      <c r="K13" s="14">
        <v>18.693999489999999</v>
      </c>
      <c r="L13" s="16">
        <v>1.8377711999999999</v>
      </c>
      <c r="M13" s="14">
        <v>55.27217512</v>
      </c>
      <c r="N13" s="16">
        <v>2.51456269</v>
      </c>
      <c r="O13" s="14" t="s">
        <v>139</v>
      </c>
      <c r="P13" s="16" t="s">
        <v>139</v>
      </c>
      <c r="Q13" s="14">
        <v>0</v>
      </c>
      <c r="R13" s="16">
        <v>0</v>
      </c>
      <c r="S13" s="14">
        <v>0</v>
      </c>
      <c r="T13" s="16">
        <v>0</v>
      </c>
      <c r="U13" s="14">
        <v>0</v>
      </c>
      <c r="V13" s="16">
        <v>0</v>
      </c>
      <c r="W13" s="14">
        <v>0</v>
      </c>
      <c r="X13" s="16">
        <v>0</v>
      </c>
    </row>
    <row r="14" spans="1:24" x14ac:dyDescent="0.25">
      <c r="A14" s="11" t="s">
        <v>146</v>
      </c>
      <c r="B14" s="13">
        <v>2788</v>
      </c>
      <c r="C14" s="14">
        <f>(2313/B14*100)</f>
        <v>82.962697274031555</v>
      </c>
      <c r="D14" s="15">
        <v>475</v>
      </c>
      <c r="E14" s="14">
        <v>4.1459732499999999</v>
      </c>
      <c r="F14" s="16">
        <v>1.1321039100000001</v>
      </c>
      <c r="G14" s="14">
        <v>2.39266946</v>
      </c>
      <c r="H14" s="16">
        <v>0.53744135000000004</v>
      </c>
      <c r="I14" s="14">
        <v>15.030795319999999</v>
      </c>
      <c r="J14" s="16">
        <v>1.79847888</v>
      </c>
      <c r="K14" s="14">
        <v>14.617872240000001</v>
      </c>
      <c r="L14" s="16">
        <v>1.8623919200000001</v>
      </c>
      <c r="M14" s="14">
        <v>63.812689730000002</v>
      </c>
      <c r="N14" s="16">
        <v>2.4562552499999999</v>
      </c>
      <c r="O14" s="14" t="s">
        <v>139</v>
      </c>
      <c r="P14" s="16" t="s">
        <v>139</v>
      </c>
      <c r="Q14" s="14">
        <v>0</v>
      </c>
      <c r="R14" s="16">
        <v>0</v>
      </c>
      <c r="S14" s="14">
        <v>0</v>
      </c>
      <c r="T14" s="16">
        <v>0</v>
      </c>
      <c r="U14" s="14">
        <v>0</v>
      </c>
      <c r="V14" s="16">
        <v>0</v>
      </c>
      <c r="W14" s="14">
        <v>0</v>
      </c>
      <c r="X14" s="16">
        <v>0</v>
      </c>
    </row>
    <row r="15" spans="1:24" x14ac:dyDescent="0.25">
      <c r="A15" s="11" t="s">
        <v>147</v>
      </c>
      <c r="B15" s="13">
        <v>2863</v>
      </c>
      <c r="C15" s="14">
        <f>(2377/B15*100)</f>
        <v>83.024799161718477</v>
      </c>
      <c r="D15" s="15">
        <v>486</v>
      </c>
      <c r="E15" s="14">
        <v>2.8371078600000001</v>
      </c>
      <c r="F15" s="16">
        <v>0.74901276999999999</v>
      </c>
      <c r="G15" s="14">
        <v>6.2949748200000002</v>
      </c>
      <c r="H15" s="16">
        <v>1.1467406499999999</v>
      </c>
      <c r="I15" s="14">
        <v>17.02742203</v>
      </c>
      <c r="J15" s="16">
        <v>1.6573015</v>
      </c>
      <c r="K15" s="14">
        <v>15.897712110000001</v>
      </c>
      <c r="L15" s="16">
        <v>1.78358719</v>
      </c>
      <c r="M15" s="14">
        <v>57.942783179999999</v>
      </c>
      <c r="N15" s="16">
        <v>2.1448087400000002</v>
      </c>
      <c r="O15" s="14" t="s">
        <v>139</v>
      </c>
      <c r="P15" s="16" t="s">
        <v>139</v>
      </c>
      <c r="Q15" s="14">
        <v>0</v>
      </c>
      <c r="R15" s="16">
        <v>0</v>
      </c>
      <c r="S15" s="14">
        <v>0</v>
      </c>
      <c r="T15" s="16">
        <v>0</v>
      </c>
      <c r="U15" s="14">
        <v>0</v>
      </c>
      <c r="V15" s="16">
        <v>0</v>
      </c>
      <c r="W15" s="14">
        <v>0</v>
      </c>
      <c r="X15" s="16">
        <v>0</v>
      </c>
    </row>
    <row r="16" spans="1:24" x14ac:dyDescent="0.25">
      <c r="A16" s="11" t="s">
        <v>148</v>
      </c>
      <c r="B16" s="13">
        <v>3111</v>
      </c>
      <c r="C16" s="14">
        <f>(2575/B16*100)</f>
        <v>82.770813243330124</v>
      </c>
      <c r="D16" s="15">
        <v>536</v>
      </c>
      <c r="E16" s="14">
        <v>6.9700775300000002</v>
      </c>
      <c r="F16" s="16">
        <v>1.14492726</v>
      </c>
      <c r="G16" s="14">
        <v>9.8306839000000004</v>
      </c>
      <c r="H16" s="16">
        <v>1.4344049800000001</v>
      </c>
      <c r="I16" s="14">
        <v>22.686600599999998</v>
      </c>
      <c r="J16" s="16">
        <v>1.8946013100000001</v>
      </c>
      <c r="K16" s="14">
        <v>19.998654429999998</v>
      </c>
      <c r="L16" s="16">
        <v>1.9706243800000001</v>
      </c>
      <c r="M16" s="14">
        <v>40.513983539999998</v>
      </c>
      <c r="N16" s="16">
        <v>2.0520116100000001</v>
      </c>
      <c r="O16" s="14" t="s">
        <v>139</v>
      </c>
      <c r="P16" s="16" t="s">
        <v>139</v>
      </c>
      <c r="Q16" s="14">
        <v>0</v>
      </c>
      <c r="R16" s="16">
        <v>0</v>
      </c>
      <c r="S16" s="14">
        <v>0</v>
      </c>
      <c r="T16" s="16">
        <v>0</v>
      </c>
      <c r="U16" s="14">
        <v>0</v>
      </c>
      <c r="V16" s="16">
        <v>0</v>
      </c>
      <c r="W16" s="14">
        <v>0</v>
      </c>
      <c r="X16" s="16">
        <v>0</v>
      </c>
    </row>
    <row r="17" spans="1:24" x14ac:dyDescent="0.25">
      <c r="A17" s="11" t="s">
        <v>149</v>
      </c>
      <c r="B17" s="13">
        <v>3197</v>
      </c>
      <c r="C17" s="14">
        <f>(2651/B17*100)</f>
        <v>82.921488895839843</v>
      </c>
      <c r="D17" s="15">
        <v>546</v>
      </c>
      <c r="E17" s="14">
        <v>3.10311585</v>
      </c>
      <c r="F17" s="16">
        <v>0.91165817000000005</v>
      </c>
      <c r="G17" s="14">
        <v>3.0323928599999999</v>
      </c>
      <c r="H17" s="16">
        <v>0.75472307999999999</v>
      </c>
      <c r="I17" s="14">
        <v>12.93614028</v>
      </c>
      <c r="J17" s="16">
        <v>1.6447556699999999</v>
      </c>
      <c r="K17" s="14">
        <v>12.675830530000001</v>
      </c>
      <c r="L17" s="16">
        <v>1.3163626500000001</v>
      </c>
      <c r="M17" s="14">
        <v>68.252520480000001</v>
      </c>
      <c r="N17" s="16">
        <v>2.2522215399999999</v>
      </c>
      <c r="O17" s="14" t="s">
        <v>139</v>
      </c>
      <c r="P17" s="16" t="s">
        <v>139</v>
      </c>
      <c r="Q17" s="14">
        <v>0</v>
      </c>
      <c r="R17" s="16">
        <v>0</v>
      </c>
      <c r="S17" s="14">
        <v>0</v>
      </c>
      <c r="T17" s="16">
        <v>0</v>
      </c>
      <c r="U17" s="14">
        <v>0</v>
      </c>
      <c r="V17" s="16">
        <v>0</v>
      </c>
      <c r="W17" s="14">
        <v>0</v>
      </c>
      <c r="X17" s="16">
        <v>0</v>
      </c>
    </row>
    <row r="18" spans="1:24" x14ac:dyDescent="0.25">
      <c r="A18" s="11" t="s">
        <v>150</v>
      </c>
      <c r="B18" s="13">
        <v>2706</v>
      </c>
      <c r="C18" s="14">
        <f>(2284/B18*100)</f>
        <v>84.405025868440504</v>
      </c>
      <c r="D18" s="15">
        <v>422</v>
      </c>
      <c r="E18" s="14">
        <v>14.75031182</v>
      </c>
      <c r="F18" s="16">
        <v>2.0083362</v>
      </c>
      <c r="G18" s="14">
        <v>6.3357151700000003</v>
      </c>
      <c r="H18" s="16">
        <v>1.2190788299999999</v>
      </c>
      <c r="I18" s="14">
        <v>19.035082450000001</v>
      </c>
      <c r="J18" s="16">
        <v>1.9529738699999999</v>
      </c>
      <c r="K18" s="14">
        <v>17.430917239999999</v>
      </c>
      <c r="L18" s="16">
        <v>1.98883374</v>
      </c>
      <c r="M18" s="14">
        <v>42.447973310000002</v>
      </c>
      <c r="N18" s="16">
        <v>2.27904083</v>
      </c>
      <c r="O18" s="14" t="s">
        <v>139</v>
      </c>
      <c r="P18" s="16" t="s">
        <v>139</v>
      </c>
      <c r="Q18" s="14">
        <v>0</v>
      </c>
      <c r="R18" s="16">
        <v>0</v>
      </c>
      <c r="S18" s="14">
        <v>0</v>
      </c>
      <c r="T18" s="16">
        <v>0</v>
      </c>
      <c r="U18" s="14">
        <v>0</v>
      </c>
      <c r="V18" s="16">
        <v>0</v>
      </c>
      <c r="W18" s="14">
        <v>0</v>
      </c>
      <c r="X18" s="16">
        <v>0</v>
      </c>
    </row>
    <row r="19" spans="1:24" x14ac:dyDescent="0.25">
      <c r="A19" s="11" t="s">
        <v>151</v>
      </c>
      <c r="B19" s="13">
        <v>2850</v>
      </c>
      <c r="C19" s="14">
        <f>(2375/B19*100)</f>
        <v>83.333333333333343</v>
      </c>
      <c r="D19" s="15">
        <v>475</v>
      </c>
      <c r="E19" s="14">
        <v>10.56499685</v>
      </c>
      <c r="F19" s="16">
        <v>1.75594852</v>
      </c>
      <c r="G19" s="14">
        <v>6.1563013</v>
      </c>
      <c r="H19" s="16">
        <v>1.39233385</v>
      </c>
      <c r="I19" s="14">
        <v>21.309290990000001</v>
      </c>
      <c r="J19" s="16">
        <v>2.5091652600000001</v>
      </c>
      <c r="K19" s="14">
        <v>17.441875589999999</v>
      </c>
      <c r="L19" s="16">
        <v>1.87236052</v>
      </c>
      <c r="M19" s="14">
        <v>44.527535270000001</v>
      </c>
      <c r="N19" s="16">
        <v>2.4058639099999999</v>
      </c>
      <c r="O19" s="14" t="s">
        <v>139</v>
      </c>
      <c r="P19" s="16" t="s">
        <v>139</v>
      </c>
      <c r="Q19" s="14">
        <v>0</v>
      </c>
      <c r="R19" s="16">
        <v>0</v>
      </c>
      <c r="S19" s="14">
        <v>0</v>
      </c>
      <c r="T19" s="16">
        <v>0</v>
      </c>
      <c r="U19" s="14">
        <v>0</v>
      </c>
      <c r="V19" s="16">
        <v>0</v>
      </c>
      <c r="W19" s="14">
        <v>0</v>
      </c>
      <c r="X19" s="16">
        <v>0</v>
      </c>
    </row>
    <row r="20" spans="1:24" x14ac:dyDescent="0.25">
      <c r="A20" s="11" t="s">
        <v>152</v>
      </c>
      <c r="B20" s="13">
        <v>1741</v>
      </c>
      <c r="C20" s="14">
        <f>(1463/B20*100)</f>
        <v>84.032165422171161</v>
      </c>
      <c r="D20" s="15">
        <v>278</v>
      </c>
      <c r="E20" s="14">
        <v>4.8373819300000003</v>
      </c>
      <c r="F20" s="16">
        <v>1.2190907200000001</v>
      </c>
      <c r="G20" s="14">
        <v>6.8799606500000001</v>
      </c>
      <c r="H20" s="16">
        <v>1.52097846</v>
      </c>
      <c r="I20" s="14">
        <v>20.47550463</v>
      </c>
      <c r="J20" s="16">
        <v>2.3752220300000002</v>
      </c>
      <c r="K20" s="14">
        <v>18.481105889999998</v>
      </c>
      <c r="L20" s="16">
        <v>2.17204234</v>
      </c>
      <c r="M20" s="14">
        <v>49.326046910000002</v>
      </c>
      <c r="N20" s="16">
        <v>2.6087725599999998</v>
      </c>
      <c r="O20" s="14" t="s">
        <v>139</v>
      </c>
      <c r="P20" s="16" t="s">
        <v>139</v>
      </c>
      <c r="Q20" s="14">
        <v>0</v>
      </c>
      <c r="R20" s="16">
        <v>0</v>
      </c>
      <c r="S20" s="14">
        <v>0</v>
      </c>
      <c r="T20" s="16">
        <v>0</v>
      </c>
      <c r="U20" s="14">
        <v>0</v>
      </c>
      <c r="V20" s="16">
        <v>0</v>
      </c>
      <c r="W20" s="14">
        <v>0</v>
      </c>
      <c r="X20" s="16">
        <v>0</v>
      </c>
    </row>
    <row r="21" spans="1:24"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c r="W21" s="17" t="s">
        <v>154</v>
      </c>
      <c r="X21" s="18" t="s">
        <v>154</v>
      </c>
    </row>
    <row r="22" spans="1:24" x14ac:dyDescent="0.25">
      <c r="A22" s="11" t="s">
        <v>155</v>
      </c>
      <c r="B22" s="13">
        <v>3667</v>
      </c>
      <c r="C22" s="14">
        <f>(3127/B22*100)</f>
        <v>85.274065994000551</v>
      </c>
      <c r="D22" s="15">
        <v>540</v>
      </c>
      <c r="E22" s="14">
        <v>12.88840738</v>
      </c>
      <c r="F22" s="16">
        <v>1.8159318600000001</v>
      </c>
      <c r="G22" s="14">
        <v>6.6642010899999997</v>
      </c>
      <c r="H22" s="16">
        <v>1.1310688499999999</v>
      </c>
      <c r="I22" s="14">
        <v>16.64093175</v>
      </c>
      <c r="J22" s="16">
        <v>1.5598234600000001</v>
      </c>
      <c r="K22" s="14">
        <v>19.575138249999998</v>
      </c>
      <c r="L22" s="16">
        <v>1.8364454100000001</v>
      </c>
      <c r="M22" s="14">
        <v>44.231321530000002</v>
      </c>
      <c r="N22" s="16">
        <v>2.46117594</v>
      </c>
      <c r="O22" s="14" t="s">
        <v>139</v>
      </c>
      <c r="P22" s="16" t="s">
        <v>139</v>
      </c>
      <c r="Q22" s="14">
        <v>0</v>
      </c>
      <c r="R22" s="16">
        <v>0</v>
      </c>
      <c r="S22" s="14">
        <v>0</v>
      </c>
      <c r="T22" s="16">
        <v>0</v>
      </c>
      <c r="U22" s="14">
        <v>0</v>
      </c>
      <c r="V22" s="16">
        <v>0</v>
      </c>
      <c r="W22" s="14">
        <v>0</v>
      </c>
      <c r="X22" s="16">
        <v>0</v>
      </c>
    </row>
    <row r="23" spans="1:24" x14ac:dyDescent="0.25">
      <c r="A23" s="11" t="s">
        <v>156</v>
      </c>
      <c r="B23" s="13">
        <v>5792</v>
      </c>
      <c r="C23" s="14">
        <f>(4825/B23*100)</f>
        <v>83.304558011049721</v>
      </c>
      <c r="D23" s="15">
        <v>967</v>
      </c>
      <c r="E23" s="14">
        <v>6.9800700500000001</v>
      </c>
      <c r="F23" s="16">
        <v>1.4602644600000001</v>
      </c>
      <c r="G23" s="14">
        <v>7.2958745699999996</v>
      </c>
      <c r="H23" s="16">
        <v>1.0951137200000001</v>
      </c>
      <c r="I23" s="14">
        <v>19.877440350000001</v>
      </c>
      <c r="J23" s="16">
        <v>1.7913162499999999</v>
      </c>
      <c r="K23" s="14">
        <v>19.868816169999999</v>
      </c>
      <c r="L23" s="16">
        <v>1.6439967499999999</v>
      </c>
      <c r="M23" s="14">
        <v>45.977798870000001</v>
      </c>
      <c r="N23" s="16">
        <v>2.4475441500000001</v>
      </c>
      <c r="O23" s="14" t="s">
        <v>139</v>
      </c>
      <c r="P23" s="16" t="s">
        <v>139</v>
      </c>
      <c r="Q23" s="14">
        <v>0</v>
      </c>
      <c r="R23" s="16">
        <v>0</v>
      </c>
      <c r="S23" s="14">
        <v>0</v>
      </c>
      <c r="T23" s="16">
        <v>0</v>
      </c>
      <c r="U23" s="14">
        <v>0</v>
      </c>
      <c r="V23" s="16">
        <v>0</v>
      </c>
      <c r="W23" s="14">
        <v>0</v>
      </c>
      <c r="X23" s="16">
        <v>0</v>
      </c>
    </row>
    <row r="24" spans="1:24" x14ac:dyDescent="0.25">
      <c r="A24" s="11" t="s">
        <v>157</v>
      </c>
      <c r="B24" s="13">
        <v>3309</v>
      </c>
      <c r="C24" s="14">
        <f>(2719/B24*100)</f>
        <v>82.169839830764573</v>
      </c>
      <c r="D24" s="15">
        <v>590</v>
      </c>
      <c r="E24" s="14">
        <v>6.0140425300000002</v>
      </c>
      <c r="F24" s="16">
        <v>0.99001165999999996</v>
      </c>
      <c r="G24" s="14">
        <v>4.2873258600000002</v>
      </c>
      <c r="H24" s="16">
        <v>0.67390812</v>
      </c>
      <c r="I24" s="14">
        <v>24.54580863</v>
      </c>
      <c r="J24" s="16">
        <v>1.70235311</v>
      </c>
      <c r="K24" s="14">
        <v>26.57176707</v>
      </c>
      <c r="L24" s="16">
        <v>1.7912765500000001</v>
      </c>
      <c r="M24" s="14">
        <v>38.581055910000003</v>
      </c>
      <c r="N24" s="16">
        <v>2.0288788900000001</v>
      </c>
      <c r="O24" s="14" t="s">
        <v>139</v>
      </c>
      <c r="P24" s="16" t="s">
        <v>139</v>
      </c>
      <c r="Q24" s="14">
        <v>0</v>
      </c>
      <c r="R24" s="16">
        <v>0</v>
      </c>
      <c r="S24" s="14">
        <v>0</v>
      </c>
      <c r="T24" s="16">
        <v>0</v>
      </c>
      <c r="U24" s="14">
        <v>0</v>
      </c>
      <c r="V24" s="16">
        <v>0</v>
      </c>
      <c r="W24" s="14">
        <v>0</v>
      </c>
      <c r="X24" s="16">
        <v>0</v>
      </c>
    </row>
    <row r="25" spans="1:24" x14ac:dyDescent="0.25">
      <c r="A25" s="11" t="s">
        <v>158</v>
      </c>
      <c r="B25" s="13">
        <v>2669</v>
      </c>
      <c r="C25" s="14">
        <f>(2200/B25*100)</f>
        <v>82.427875608842257</v>
      </c>
      <c r="D25" s="15">
        <v>469</v>
      </c>
      <c r="E25" s="14">
        <v>4.4053028200000002</v>
      </c>
      <c r="F25" s="16">
        <v>1.0479177399999999</v>
      </c>
      <c r="G25" s="14">
        <v>3.13775329</v>
      </c>
      <c r="H25" s="16">
        <v>0.90501111999999995</v>
      </c>
      <c r="I25" s="14">
        <v>13.70625514</v>
      </c>
      <c r="J25" s="16">
        <v>1.79033858</v>
      </c>
      <c r="K25" s="14">
        <v>31.612036889999999</v>
      </c>
      <c r="L25" s="16">
        <v>2.35722678</v>
      </c>
      <c r="M25" s="14">
        <v>47.138651860000003</v>
      </c>
      <c r="N25" s="16">
        <v>2.3761411099999998</v>
      </c>
      <c r="O25" s="14" t="s">
        <v>139</v>
      </c>
      <c r="P25" s="16" t="s">
        <v>139</v>
      </c>
      <c r="Q25" s="14">
        <v>0</v>
      </c>
      <c r="R25" s="16">
        <v>0</v>
      </c>
      <c r="S25" s="14">
        <v>0</v>
      </c>
      <c r="T25" s="16">
        <v>0</v>
      </c>
      <c r="U25" s="14">
        <v>0</v>
      </c>
      <c r="V25" s="16">
        <v>0</v>
      </c>
      <c r="W25" s="14">
        <v>0</v>
      </c>
      <c r="X25" s="16">
        <v>0</v>
      </c>
    </row>
    <row r="26" spans="1:24" x14ac:dyDescent="0.25">
      <c r="A26" s="11" t="s">
        <v>159</v>
      </c>
      <c r="B26" s="13">
        <v>2419</v>
      </c>
      <c r="C26" s="14">
        <f>(2003/B26*100)</f>
        <v>82.802811078958243</v>
      </c>
      <c r="D26" s="15">
        <v>416</v>
      </c>
      <c r="E26" s="14">
        <v>6.8828684400000002</v>
      </c>
      <c r="F26" s="16">
        <v>1.2782847500000001</v>
      </c>
      <c r="G26" s="14">
        <v>8.8898199099999999</v>
      </c>
      <c r="H26" s="16">
        <v>1.34724679</v>
      </c>
      <c r="I26" s="14">
        <v>26.194445760000001</v>
      </c>
      <c r="J26" s="16">
        <v>2.1486866999999998</v>
      </c>
      <c r="K26" s="14">
        <v>22.331839859999999</v>
      </c>
      <c r="L26" s="16">
        <v>2.1158715799999999</v>
      </c>
      <c r="M26" s="14">
        <v>35.701026030000001</v>
      </c>
      <c r="N26" s="16">
        <v>2.5208098300000001</v>
      </c>
      <c r="O26" s="14" t="s">
        <v>139</v>
      </c>
      <c r="P26" s="16" t="s">
        <v>139</v>
      </c>
      <c r="Q26" s="14">
        <v>0</v>
      </c>
      <c r="R26" s="16">
        <v>0</v>
      </c>
      <c r="S26" s="14">
        <v>0</v>
      </c>
      <c r="T26" s="16">
        <v>0</v>
      </c>
      <c r="U26" s="14">
        <v>0</v>
      </c>
      <c r="V26" s="16">
        <v>0</v>
      </c>
      <c r="W26" s="14">
        <v>0</v>
      </c>
      <c r="X26" s="16">
        <v>0</v>
      </c>
    </row>
    <row r="27" spans="1:24" x14ac:dyDescent="0.25">
      <c r="A27" s="11" t="s">
        <v>160</v>
      </c>
      <c r="B27" s="13">
        <v>2683</v>
      </c>
      <c r="C27" s="14">
        <f>(2241/B27*100)</f>
        <v>83.52590383898621</v>
      </c>
      <c r="D27" s="15">
        <v>442</v>
      </c>
      <c r="E27" s="14">
        <v>5.8860439700000002</v>
      </c>
      <c r="F27" s="16">
        <v>0.96715479000000004</v>
      </c>
      <c r="G27" s="14">
        <v>5.8776590799999999</v>
      </c>
      <c r="H27" s="16">
        <v>1.03014881</v>
      </c>
      <c r="I27" s="14">
        <v>16.503286190000001</v>
      </c>
      <c r="J27" s="16">
        <v>1.653813</v>
      </c>
      <c r="K27" s="14">
        <v>19.636065420000001</v>
      </c>
      <c r="L27" s="16">
        <v>1.66906964</v>
      </c>
      <c r="M27" s="14">
        <v>52.096945339999998</v>
      </c>
      <c r="N27" s="16">
        <v>2.1907136</v>
      </c>
      <c r="O27" s="14" t="s">
        <v>139</v>
      </c>
      <c r="P27" s="16" t="s">
        <v>139</v>
      </c>
      <c r="Q27" s="14">
        <v>0</v>
      </c>
      <c r="R27" s="16">
        <v>0</v>
      </c>
      <c r="S27" s="14">
        <v>0</v>
      </c>
      <c r="T27" s="16">
        <v>0</v>
      </c>
      <c r="U27" s="14">
        <v>0</v>
      </c>
      <c r="V27" s="16">
        <v>0</v>
      </c>
      <c r="W27" s="14">
        <v>0</v>
      </c>
      <c r="X27" s="16">
        <v>0</v>
      </c>
    </row>
    <row r="28" spans="1:24" x14ac:dyDescent="0.25">
      <c r="A28" s="11" t="s">
        <v>161</v>
      </c>
      <c r="B28" s="13">
        <v>3803</v>
      </c>
      <c r="C28" s="14">
        <f>(3194/B28*100)</f>
        <v>83.986326584275574</v>
      </c>
      <c r="D28" s="15">
        <v>609</v>
      </c>
      <c r="E28" s="14">
        <v>20.48809507</v>
      </c>
      <c r="F28" s="16">
        <v>2.0541805399999999</v>
      </c>
      <c r="G28" s="14">
        <v>12.30792621</v>
      </c>
      <c r="H28" s="16">
        <v>1.3712324499999999</v>
      </c>
      <c r="I28" s="14">
        <v>23.806072749999998</v>
      </c>
      <c r="J28" s="16">
        <v>2.0373014399999998</v>
      </c>
      <c r="K28" s="14">
        <v>18.521284099999999</v>
      </c>
      <c r="L28" s="16">
        <v>1.8188814200000001</v>
      </c>
      <c r="M28" s="14">
        <v>24.876621870000001</v>
      </c>
      <c r="N28" s="16">
        <v>2.0629155199999998</v>
      </c>
      <c r="O28" s="14" t="s">
        <v>139</v>
      </c>
      <c r="P28" s="16" t="s">
        <v>139</v>
      </c>
      <c r="Q28" s="14">
        <v>0</v>
      </c>
      <c r="R28" s="16">
        <v>0</v>
      </c>
      <c r="S28" s="14">
        <v>0</v>
      </c>
      <c r="T28" s="16">
        <v>0</v>
      </c>
      <c r="U28" s="14">
        <v>0</v>
      </c>
      <c r="V28" s="16">
        <v>0</v>
      </c>
      <c r="W28" s="14">
        <v>0</v>
      </c>
      <c r="X28" s="16">
        <v>0</v>
      </c>
    </row>
    <row r="29" spans="1:24" x14ac:dyDescent="0.25">
      <c r="A29" s="11" t="s">
        <v>162</v>
      </c>
      <c r="B29" s="13">
        <v>2700</v>
      </c>
      <c r="C29" s="14">
        <f>(2243/B29*100)</f>
        <v>83.074074074074076</v>
      </c>
      <c r="D29" s="15">
        <v>457</v>
      </c>
      <c r="E29" s="14">
        <v>3.76101982</v>
      </c>
      <c r="F29" s="16">
        <v>0.7221535</v>
      </c>
      <c r="G29" s="14">
        <v>6.0125648299999996</v>
      </c>
      <c r="H29" s="16">
        <v>1.27428224</v>
      </c>
      <c r="I29" s="14">
        <v>11.457461759999999</v>
      </c>
      <c r="J29" s="16">
        <v>1.34025007</v>
      </c>
      <c r="K29" s="14">
        <v>15.224602880000001</v>
      </c>
      <c r="L29" s="16">
        <v>1.5273301500000001</v>
      </c>
      <c r="M29" s="14">
        <v>63.544350700000003</v>
      </c>
      <c r="N29" s="16">
        <v>2.1661416500000001</v>
      </c>
      <c r="O29" s="14" t="s">
        <v>139</v>
      </c>
      <c r="P29" s="16" t="s">
        <v>139</v>
      </c>
      <c r="Q29" s="14">
        <v>0</v>
      </c>
      <c r="R29" s="16">
        <v>0</v>
      </c>
      <c r="S29" s="14">
        <v>0</v>
      </c>
      <c r="T29" s="16">
        <v>0</v>
      </c>
      <c r="U29" s="14">
        <v>0</v>
      </c>
      <c r="V29" s="16">
        <v>0</v>
      </c>
      <c r="W29" s="14">
        <v>0</v>
      </c>
      <c r="X29" s="16">
        <v>0</v>
      </c>
    </row>
    <row r="30" spans="1:24" x14ac:dyDescent="0.25">
      <c r="A30" s="11" t="s">
        <v>163</v>
      </c>
      <c r="B30" s="13">
        <v>2257</v>
      </c>
      <c r="C30" s="14">
        <f>(1892/B30*100)</f>
        <v>83.828090385467434</v>
      </c>
      <c r="D30" s="15">
        <v>365</v>
      </c>
      <c r="E30" s="14">
        <v>2.60705169</v>
      </c>
      <c r="F30" s="16">
        <v>0.80035984999999998</v>
      </c>
      <c r="G30" s="14">
        <v>5.0621726799999998</v>
      </c>
      <c r="H30" s="16">
        <v>1.0713608400000001</v>
      </c>
      <c r="I30" s="14">
        <v>21.744093169999999</v>
      </c>
      <c r="J30" s="16">
        <v>2.0700004299999999</v>
      </c>
      <c r="K30" s="14">
        <v>18.870311539999999</v>
      </c>
      <c r="L30" s="16">
        <v>2.1051323900000001</v>
      </c>
      <c r="M30" s="14">
        <v>51.716370929999997</v>
      </c>
      <c r="N30" s="16">
        <v>2.5373250399999998</v>
      </c>
      <c r="O30" s="14" t="s">
        <v>139</v>
      </c>
      <c r="P30" s="16" t="s">
        <v>139</v>
      </c>
      <c r="Q30" s="14">
        <v>0</v>
      </c>
      <c r="R30" s="16">
        <v>0</v>
      </c>
      <c r="S30" s="14">
        <v>0</v>
      </c>
      <c r="T30" s="16">
        <v>0</v>
      </c>
      <c r="U30" s="14">
        <v>0</v>
      </c>
      <c r="V30" s="16">
        <v>0</v>
      </c>
      <c r="W30" s="14">
        <v>0</v>
      </c>
      <c r="X30" s="16">
        <v>0</v>
      </c>
    </row>
    <row r="31" spans="1:24" x14ac:dyDescent="0.25">
      <c r="A31" s="11" t="s">
        <v>164</v>
      </c>
      <c r="B31" s="13">
        <v>2706</v>
      </c>
      <c r="C31" s="14">
        <f>(2227/B31*100)</f>
        <v>82.298595713229858</v>
      </c>
      <c r="D31" s="15">
        <v>479</v>
      </c>
      <c r="E31" s="14">
        <v>3.0639844300000001</v>
      </c>
      <c r="F31" s="16">
        <v>0.82443474999999999</v>
      </c>
      <c r="G31" s="14">
        <v>6.6630362600000002</v>
      </c>
      <c r="H31" s="16">
        <v>1.22326318</v>
      </c>
      <c r="I31" s="14">
        <v>14.56619016</v>
      </c>
      <c r="J31" s="16">
        <v>1.8906493200000001</v>
      </c>
      <c r="K31" s="14">
        <v>19.154018789999999</v>
      </c>
      <c r="L31" s="16">
        <v>2.0633184899999999</v>
      </c>
      <c r="M31" s="14">
        <v>56.552770359999997</v>
      </c>
      <c r="N31" s="16">
        <v>2.42163306</v>
      </c>
      <c r="O31" s="14" t="s">
        <v>139</v>
      </c>
      <c r="P31" s="16" t="s">
        <v>139</v>
      </c>
      <c r="Q31" s="14">
        <v>0</v>
      </c>
      <c r="R31" s="16">
        <v>0</v>
      </c>
      <c r="S31" s="14">
        <v>0</v>
      </c>
      <c r="T31" s="16">
        <v>0</v>
      </c>
      <c r="U31" s="14">
        <v>0</v>
      </c>
      <c r="V31" s="16">
        <v>0</v>
      </c>
      <c r="W31" s="14">
        <v>0</v>
      </c>
      <c r="X31" s="16">
        <v>0</v>
      </c>
    </row>
    <row r="32" spans="1:24"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c r="W32" s="17" t="s">
        <v>154</v>
      </c>
      <c r="X32" s="18" t="s">
        <v>154</v>
      </c>
    </row>
    <row r="33" spans="1:24" x14ac:dyDescent="0.25">
      <c r="A33" s="11" t="s">
        <v>166</v>
      </c>
      <c r="B33" s="13">
        <v>3651</v>
      </c>
      <c r="C33" s="14">
        <f>(3037/B33*100)</f>
        <v>83.182689674061905</v>
      </c>
      <c r="D33" s="15">
        <v>614</v>
      </c>
      <c r="E33" s="14">
        <v>4.6967342500000004</v>
      </c>
      <c r="F33" s="16">
        <v>1.0543912099999999</v>
      </c>
      <c r="G33" s="14">
        <v>8.8565767900000001</v>
      </c>
      <c r="H33" s="16">
        <v>1.2808847800000001</v>
      </c>
      <c r="I33" s="14">
        <v>24.069133650000001</v>
      </c>
      <c r="J33" s="16">
        <v>2.0877122199999998</v>
      </c>
      <c r="K33" s="14">
        <v>22.202535180000002</v>
      </c>
      <c r="L33" s="16">
        <v>1.78565803</v>
      </c>
      <c r="M33" s="14">
        <v>40.17502013</v>
      </c>
      <c r="N33" s="16">
        <v>2.2207579700000002</v>
      </c>
      <c r="O33" s="14" t="s">
        <v>139</v>
      </c>
      <c r="P33" s="16" t="s">
        <v>139</v>
      </c>
      <c r="Q33" s="14">
        <v>0</v>
      </c>
      <c r="R33" s="16">
        <v>0</v>
      </c>
      <c r="S33" s="14">
        <v>0</v>
      </c>
      <c r="T33" s="16">
        <v>0</v>
      </c>
      <c r="U33" s="14">
        <v>0</v>
      </c>
      <c r="V33" s="16">
        <v>0</v>
      </c>
      <c r="W33" s="14">
        <v>0</v>
      </c>
      <c r="X33" s="16">
        <v>0</v>
      </c>
    </row>
    <row r="34" spans="1:24" x14ac:dyDescent="0.25">
      <c r="A34" s="11" t="s">
        <v>167</v>
      </c>
      <c r="B34" s="13">
        <v>3035</v>
      </c>
      <c r="C34" s="14">
        <f>(2572/B34*100)</f>
        <v>84.744645799011536</v>
      </c>
      <c r="D34" s="15">
        <v>463</v>
      </c>
      <c r="E34" s="14">
        <v>9.9140398800000007</v>
      </c>
      <c r="F34" s="16">
        <v>1.34382775</v>
      </c>
      <c r="G34" s="14">
        <v>7.4245189700000003</v>
      </c>
      <c r="H34" s="16">
        <v>1.46990358</v>
      </c>
      <c r="I34" s="14">
        <v>22.053324610000001</v>
      </c>
      <c r="J34" s="16">
        <v>1.8863017099999999</v>
      </c>
      <c r="K34" s="14">
        <v>19.280503960000001</v>
      </c>
      <c r="L34" s="16">
        <v>2.2388726600000002</v>
      </c>
      <c r="M34" s="14">
        <v>41.32761258</v>
      </c>
      <c r="N34" s="16">
        <v>2.7002323399999999</v>
      </c>
      <c r="O34" s="14" t="s">
        <v>139</v>
      </c>
      <c r="P34" s="16" t="s">
        <v>139</v>
      </c>
      <c r="Q34" s="14">
        <v>0</v>
      </c>
      <c r="R34" s="16">
        <v>0</v>
      </c>
      <c r="S34" s="14">
        <v>0</v>
      </c>
      <c r="T34" s="16">
        <v>0</v>
      </c>
      <c r="U34" s="14">
        <v>0</v>
      </c>
      <c r="V34" s="16">
        <v>0</v>
      </c>
      <c r="W34" s="14">
        <v>0</v>
      </c>
      <c r="X34" s="16">
        <v>0</v>
      </c>
    </row>
    <row r="35" spans="1:24" x14ac:dyDescent="0.25">
      <c r="A35" s="11" t="s">
        <v>168</v>
      </c>
      <c r="B35" s="13">
        <v>2901</v>
      </c>
      <c r="C35" s="14">
        <f>(2417/B35*100)</f>
        <v>83.316097897276791</v>
      </c>
      <c r="D35" s="15">
        <v>484</v>
      </c>
      <c r="E35" s="14">
        <v>7.5550710900000002</v>
      </c>
      <c r="F35" s="16">
        <v>2.0935798600000002</v>
      </c>
      <c r="G35" s="14">
        <v>3.30389819</v>
      </c>
      <c r="H35" s="16">
        <v>0.95602785999999995</v>
      </c>
      <c r="I35" s="14">
        <v>10.96342389</v>
      </c>
      <c r="J35" s="16">
        <v>1.7342901399999999</v>
      </c>
      <c r="K35" s="14">
        <v>19.832194439999999</v>
      </c>
      <c r="L35" s="16">
        <v>2.5297908499999999</v>
      </c>
      <c r="M35" s="14">
        <v>58.34541239</v>
      </c>
      <c r="N35" s="16">
        <v>2.87808822</v>
      </c>
      <c r="O35" s="14" t="s">
        <v>139</v>
      </c>
      <c r="P35" s="16" t="s">
        <v>139</v>
      </c>
      <c r="Q35" s="14">
        <v>0</v>
      </c>
      <c r="R35" s="16">
        <v>0</v>
      </c>
      <c r="S35" s="14">
        <v>0</v>
      </c>
      <c r="T35" s="16">
        <v>0</v>
      </c>
      <c r="U35" s="14">
        <v>0</v>
      </c>
      <c r="V35" s="16">
        <v>0</v>
      </c>
      <c r="W35" s="14">
        <v>0</v>
      </c>
      <c r="X35" s="16">
        <v>0</v>
      </c>
    </row>
    <row r="36" spans="1:24" x14ac:dyDescent="0.25">
      <c r="A36" s="11" t="s">
        <v>169</v>
      </c>
      <c r="B36" s="13">
        <v>3404</v>
      </c>
      <c r="C36" s="14">
        <f>(2823/B36*100)</f>
        <v>82.931844888366626</v>
      </c>
      <c r="D36" s="15">
        <v>581</v>
      </c>
      <c r="E36" s="14">
        <v>3.88408642</v>
      </c>
      <c r="F36" s="16">
        <v>1.03594169</v>
      </c>
      <c r="G36" s="14">
        <v>5.7926782899999996</v>
      </c>
      <c r="H36" s="16">
        <v>0.92573095999999999</v>
      </c>
      <c r="I36" s="14">
        <v>16.373727769999999</v>
      </c>
      <c r="J36" s="16">
        <v>1.6817354900000001</v>
      </c>
      <c r="K36" s="14">
        <v>21.025025209999999</v>
      </c>
      <c r="L36" s="16">
        <v>1.67705361</v>
      </c>
      <c r="M36" s="14">
        <v>52.924482300000001</v>
      </c>
      <c r="N36" s="16">
        <v>2.1850845799999998</v>
      </c>
      <c r="O36" s="14" t="s">
        <v>139</v>
      </c>
      <c r="P36" s="16" t="s">
        <v>139</v>
      </c>
      <c r="Q36" s="14">
        <v>0</v>
      </c>
      <c r="R36" s="16">
        <v>0</v>
      </c>
      <c r="S36" s="14">
        <v>0</v>
      </c>
      <c r="T36" s="16">
        <v>0</v>
      </c>
      <c r="U36" s="14">
        <v>0</v>
      </c>
      <c r="V36" s="16">
        <v>0</v>
      </c>
      <c r="W36" s="14">
        <v>0</v>
      </c>
      <c r="X36" s="16">
        <v>0</v>
      </c>
    </row>
    <row r="37" spans="1:24" x14ac:dyDescent="0.25">
      <c r="A37" s="11" t="s">
        <v>170</v>
      </c>
      <c r="B37" s="13">
        <v>2731</v>
      </c>
      <c r="C37" s="14">
        <f>(2287/B37*100)</f>
        <v>83.742218967411205</v>
      </c>
      <c r="D37" s="15">
        <v>444</v>
      </c>
      <c r="E37" s="14">
        <v>4.2253760500000004</v>
      </c>
      <c r="F37" s="16">
        <v>1.1071216399999999</v>
      </c>
      <c r="G37" s="14">
        <v>6.7341026299999998</v>
      </c>
      <c r="H37" s="16">
        <v>1.2285650800000001</v>
      </c>
      <c r="I37" s="14">
        <v>13.31457573</v>
      </c>
      <c r="J37" s="16">
        <v>1.6481064700000001</v>
      </c>
      <c r="K37" s="14">
        <v>17.072914269999998</v>
      </c>
      <c r="L37" s="16">
        <v>1.6816021000000001</v>
      </c>
      <c r="M37" s="14">
        <v>58.653031310000003</v>
      </c>
      <c r="N37" s="16">
        <v>2.58482601</v>
      </c>
      <c r="O37" s="14" t="s">
        <v>139</v>
      </c>
      <c r="P37" s="16" t="s">
        <v>139</v>
      </c>
      <c r="Q37" s="14">
        <v>0</v>
      </c>
      <c r="R37" s="16">
        <v>0</v>
      </c>
      <c r="S37" s="14">
        <v>0</v>
      </c>
      <c r="T37" s="16">
        <v>0</v>
      </c>
      <c r="U37" s="14">
        <v>0</v>
      </c>
      <c r="V37" s="16">
        <v>0</v>
      </c>
      <c r="W37" s="14">
        <v>0</v>
      </c>
      <c r="X37" s="16">
        <v>0</v>
      </c>
    </row>
    <row r="38" spans="1:24"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c r="W38" s="17" t="s">
        <v>154</v>
      </c>
      <c r="X38" s="18" t="s">
        <v>154</v>
      </c>
    </row>
    <row r="39" spans="1:24" x14ac:dyDescent="0.25">
      <c r="A39" s="11" t="s">
        <v>172</v>
      </c>
      <c r="B39" s="13">
        <v>2938</v>
      </c>
      <c r="C39" s="14">
        <f>(2429/B39*100)</f>
        <v>82.675289312457451</v>
      </c>
      <c r="D39" s="15">
        <v>509</v>
      </c>
      <c r="E39" s="14">
        <v>19.97649766</v>
      </c>
      <c r="F39" s="16">
        <v>1.8510949000000001</v>
      </c>
      <c r="G39" s="14">
        <v>8.9187013200000003</v>
      </c>
      <c r="H39" s="16">
        <v>1.21225505</v>
      </c>
      <c r="I39" s="14">
        <v>26.220218289999998</v>
      </c>
      <c r="J39" s="16">
        <v>2.6147126900000002</v>
      </c>
      <c r="K39" s="14">
        <v>23.32605637</v>
      </c>
      <c r="L39" s="16">
        <v>2.4530969900000001</v>
      </c>
      <c r="M39" s="14">
        <v>21.558526369999999</v>
      </c>
      <c r="N39" s="16">
        <v>1.91094309</v>
      </c>
      <c r="O39" s="14" t="s">
        <v>139</v>
      </c>
      <c r="P39" s="16" t="s">
        <v>139</v>
      </c>
      <c r="Q39" s="14">
        <v>0</v>
      </c>
      <c r="R39" s="16">
        <v>0</v>
      </c>
      <c r="S39" s="14">
        <v>0</v>
      </c>
      <c r="T39" s="16">
        <v>0</v>
      </c>
      <c r="U39" s="14">
        <v>0</v>
      </c>
      <c r="V39" s="16">
        <v>0</v>
      </c>
      <c r="W39" s="14">
        <v>0</v>
      </c>
      <c r="X39" s="16">
        <v>0</v>
      </c>
    </row>
    <row r="40" spans="1:24" x14ac:dyDescent="0.25">
      <c r="A40" s="11" t="s">
        <v>173</v>
      </c>
      <c r="B40" s="13">
        <v>6922</v>
      </c>
      <c r="C40" s="14">
        <f>(5711/B40*100)</f>
        <v>82.50505634209766</v>
      </c>
      <c r="D40" s="15">
        <v>1211</v>
      </c>
      <c r="E40" s="14">
        <v>4.64362897</v>
      </c>
      <c r="F40" s="16">
        <v>0.92757745999999996</v>
      </c>
      <c r="G40" s="14">
        <v>7.3704173900000001</v>
      </c>
      <c r="H40" s="16">
        <v>1.0181974300000001</v>
      </c>
      <c r="I40" s="14">
        <v>23.24216118</v>
      </c>
      <c r="J40" s="16">
        <v>1.7265021700000001</v>
      </c>
      <c r="K40" s="14">
        <v>17.617796899999998</v>
      </c>
      <c r="L40" s="16">
        <v>1.76355335</v>
      </c>
      <c r="M40" s="14">
        <v>47.125995549999999</v>
      </c>
      <c r="N40" s="16">
        <v>1.89059424</v>
      </c>
      <c r="O40" s="14" t="s">
        <v>139</v>
      </c>
      <c r="P40" s="16" t="s">
        <v>139</v>
      </c>
      <c r="Q40" s="14">
        <v>0</v>
      </c>
      <c r="R40" s="16">
        <v>0</v>
      </c>
      <c r="S40" s="14">
        <v>0</v>
      </c>
      <c r="T40" s="16">
        <v>0</v>
      </c>
      <c r="U40" s="14">
        <v>0</v>
      </c>
      <c r="V40" s="16">
        <v>0</v>
      </c>
      <c r="W40" s="14">
        <v>0</v>
      </c>
      <c r="X40" s="16">
        <v>0</v>
      </c>
    </row>
    <row r="41" spans="1:24" x14ac:dyDescent="0.25">
      <c r="A41" s="11" t="s">
        <v>174</v>
      </c>
      <c r="B41" s="13">
        <v>2854</v>
      </c>
      <c r="C41" s="14">
        <f>(2392/B41*100)</f>
        <v>83.812193412754027</v>
      </c>
      <c r="D41" s="15">
        <v>462</v>
      </c>
      <c r="E41" s="14">
        <v>5.8460402299999998</v>
      </c>
      <c r="F41" s="16">
        <v>1.24430895</v>
      </c>
      <c r="G41" s="14">
        <v>8.7857696900000004</v>
      </c>
      <c r="H41" s="16">
        <v>1.2391053700000001</v>
      </c>
      <c r="I41" s="14">
        <v>21.072117410000001</v>
      </c>
      <c r="J41" s="16">
        <v>2.1218174300000001</v>
      </c>
      <c r="K41" s="14">
        <v>16.921245219999999</v>
      </c>
      <c r="L41" s="16">
        <v>1.9082385799999999</v>
      </c>
      <c r="M41" s="14">
        <v>47.374827439999997</v>
      </c>
      <c r="N41" s="16">
        <v>2.6975266499999999</v>
      </c>
      <c r="O41" s="14" t="s">
        <v>139</v>
      </c>
      <c r="P41" s="16" t="s">
        <v>139</v>
      </c>
      <c r="Q41" s="14">
        <v>0</v>
      </c>
      <c r="R41" s="16">
        <v>0</v>
      </c>
      <c r="S41" s="14">
        <v>0</v>
      </c>
      <c r="T41" s="16">
        <v>0</v>
      </c>
      <c r="U41" s="14">
        <v>0</v>
      </c>
      <c r="V41" s="16">
        <v>0</v>
      </c>
      <c r="W41" s="14">
        <v>0</v>
      </c>
      <c r="X41" s="16">
        <v>0</v>
      </c>
    </row>
    <row r="42" spans="1:24" x14ac:dyDescent="0.25">
      <c r="A42" s="11" t="s">
        <v>175</v>
      </c>
      <c r="B42" s="13">
        <f>IF(COUNT(B7:B41) &gt; 0, AVERAGE(B7:B41), "\u2014")</f>
        <v>3612.53125</v>
      </c>
      <c r="C42" s="14">
        <f>IF(COUNT(C7:C41) &gt; 0, AVERAGE(C7:C41), "—")</f>
        <v>83.358504234266036</v>
      </c>
      <c r="D42" s="15">
        <f>IF(COUNT(D7:D41) &gt; 0, AVERAGE(D7:D41), "—")</f>
        <v>602.21875</v>
      </c>
      <c r="E42" s="14">
        <f>IF(COUNT(E7:E41) &gt; 0, AVERAGE(E7:E41), "—")</f>
        <v>6.8059246237499993</v>
      </c>
      <c r="F42" s="16">
        <f>IF(COUNT(F7:F41) &gt; 0, SQRT(SUMSQ(F7:F41)/(COUNT(F7:F41)*COUNT(F7:F41)) ), "—")</f>
        <v>0.22700095987917995</v>
      </c>
      <c r="G42" s="14">
        <f>IF(COUNT(G7:G41) &gt; 0, AVERAGE(G7:G41), "—")</f>
        <v>6.5014857112500009</v>
      </c>
      <c r="H42" s="16">
        <f>IF(COUNT(H7:H41) &gt; 0, SQRT(SUMSQ(H7:H41)/(COUNT(H7:H41)*COUNT(H7:H41)) ), "—")</f>
        <v>0.20103661214257756</v>
      </c>
      <c r="I42" s="14">
        <f>IF(COUNT(I7:I41) &gt; 0, AVERAGE(I7:I41), "—")</f>
        <v>18.783684593437503</v>
      </c>
      <c r="J42" s="16">
        <f>IF(COUNT(J7:J41) &gt; 0, SQRT(SUMSQ(J7:J41)/(COUNT(J7:J41)*COUNT(J7:J41)) ), "—")</f>
        <v>0.32671458146297544</v>
      </c>
      <c r="K42" s="14">
        <f>IF(COUNT(K7:K41) &gt; 0, AVERAGE(K7:K41), "—")</f>
        <v>19.126175233124997</v>
      </c>
      <c r="L42" s="16">
        <f>IF(COUNT(L7:L41) &gt; 0, SQRT(SUMSQ(L7:L41)/(COUNT(L7:L41)*COUNT(L7:L41)) ), "—")</f>
        <v>0.33277054167678372</v>
      </c>
      <c r="M42" s="14">
        <f>IF(COUNT(M7:M41) &gt; 0, AVERAGE(M7:M41), "—")</f>
        <v>48.782729837500007</v>
      </c>
      <c r="N42" s="16">
        <f>IF(COUNT(N7:N41) &gt; 0, SQRT(SUMSQ(N7:N41)/(COUNT(N7:N41)*COUNT(N7:N41)) ), "—")</f>
        <v>0.4057519793648014</v>
      </c>
      <c r="O42" s="14" t="str">
        <f>IF(COUNT(O7:O41) &gt; 0, AVERAGE(O7:O41), "—")</f>
        <v>—</v>
      </c>
      <c r="P42" s="16" t="str">
        <f>IF(COUNT(P7:P41) &gt; 0, SQRT(SUMSQ(P7:P41)/(COUNT(P7:P41)*COUNT(P7:P41)) ), "—")</f>
        <v>—</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c r="W42" s="14">
        <f>IF(COUNT(W7:W41) &gt; 0, AVERAGE(W7:W41), "—")</f>
        <v>0</v>
      </c>
      <c r="X42" s="16">
        <f>IF(COUNT(X7:X41) &gt; 0, SQRT(SUMSQ(X7:X41)/(COUNT(X7:X41)*COUNT(X7:X41)) ), "—")</f>
        <v>0</v>
      </c>
    </row>
    <row r="43" spans="1:24" x14ac:dyDescent="0.25">
      <c r="A43" s="9" t="s">
        <v>176</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c r="W44" s="17" t="s">
        <v>154</v>
      </c>
      <c r="X44" s="18" t="s">
        <v>154</v>
      </c>
    </row>
    <row r="45" spans="1:24"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c r="W45" s="17" t="s">
        <v>154</v>
      </c>
      <c r="X45" s="18" t="s">
        <v>154</v>
      </c>
    </row>
    <row r="46" spans="1:24" x14ac:dyDescent="0.25">
      <c r="A46" s="11" t="s">
        <v>179</v>
      </c>
      <c r="B46" s="13">
        <v>12073</v>
      </c>
      <c r="C46" s="14">
        <f>(10450/B46*100)</f>
        <v>86.556779590822501</v>
      </c>
      <c r="D46" s="15">
        <v>1623</v>
      </c>
      <c r="E46" s="14">
        <v>26.011182640000001</v>
      </c>
      <c r="F46" s="16">
        <v>1.4548306600000001</v>
      </c>
      <c r="G46" s="14">
        <v>10.853882540000001</v>
      </c>
      <c r="H46" s="16">
        <v>0.90921289000000005</v>
      </c>
      <c r="I46" s="14">
        <v>21.541484329999999</v>
      </c>
      <c r="J46" s="16">
        <v>1.51054573</v>
      </c>
      <c r="K46" s="14">
        <v>11.405772839999999</v>
      </c>
      <c r="L46" s="16">
        <v>1.1529407599999999</v>
      </c>
      <c r="M46" s="14">
        <v>30.18767764</v>
      </c>
      <c r="N46" s="16">
        <v>1.69133599</v>
      </c>
      <c r="O46" s="14" t="s">
        <v>139</v>
      </c>
      <c r="P46" s="16" t="s">
        <v>139</v>
      </c>
      <c r="Q46" s="14">
        <v>0</v>
      </c>
      <c r="R46" s="16">
        <v>0</v>
      </c>
      <c r="S46" s="14">
        <v>0</v>
      </c>
      <c r="T46" s="16">
        <v>0</v>
      </c>
      <c r="U46" s="14">
        <v>0</v>
      </c>
      <c r="V46" s="16">
        <v>0</v>
      </c>
      <c r="W46" s="14">
        <v>0</v>
      </c>
      <c r="X46" s="16">
        <v>0</v>
      </c>
    </row>
    <row r="47" spans="1:24" x14ac:dyDescent="0.25">
      <c r="A47" s="11" t="s">
        <v>180</v>
      </c>
      <c r="B47" s="13">
        <v>2823</v>
      </c>
      <c r="C47" s="14">
        <f>(2347/B47*100)</f>
        <v>83.138505136379734</v>
      </c>
      <c r="D47" s="15">
        <v>476</v>
      </c>
      <c r="E47" s="14">
        <v>15.95990319</v>
      </c>
      <c r="F47" s="16">
        <v>1.7717872400000001</v>
      </c>
      <c r="G47" s="14">
        <v>12.108708760000001</v>
      </c>
      <c r="H47" s="16">
        <v>1.86814777</v>
      </c>
      <c r="I47" s="14">
        <v>27.45638026</v>
      </c>
      <c r="J47" s="16">
        <v>1.73559613</v>
      </c>
      <c r="K47" s="14">
        <v>17.316547320000002</v>
      </c>
      <c r="L47" s="16">
        <v>1.8240438000000001</v>
      </c>
      <c r="M47" s="14">
        <v>27.158460470000001</v>
      </c>
      <c r="N47" s="16">
        <v>2.4274923400000001</v>
      </c>
      <c r="O47" s="14" t="s">
        <v>139</v>
      </c>
      <c r="P47" s="16" t="s">
        <v>139</v>
      </c>
      <c r="Q47" s="14">
        <v>0</v>
      </c>
      <c r="R47" s="16">
        <v>0</v>
      </c>
      <c r="S47" s="14">
        <v>0</v>
      </c>
      <c r="T47" s="16">
        <v>0</v>
      </c>
      <c r="U47" s="14">
        <v>0</v>
      </c>
      <c r="V47" s="16">
        <v>0</v>
      </c>
      <c r="W47" s="14">
        <v>0</v>
      </c>
      <c r="X47" s="16">
        <v>0</v>
      </c>
    </row>
    <row r="48" spans="1:24" x14ac:dyDescent="0.25">
      <c r="A48" s="11" t="s">
        <v>181</v>
      </c>
      <c r="B48" s="13">
        <v>4682</v>
      </c>
      <c r="C48" s="14">
        <f>(3885/B48*100)</f>
        <v>82.977360102520294</v>
      </c>
      <c r="D48" s="15">
        <v>797</v>
      </c>
      <c r="E48" s="14">
        <v>15.542471600000001</v>
      </c>
      <c r="F48" s="16">
        <v>1.64262953</v>
      </c>
      <c r="G48" s="14">
        <v>6.4411826200000002</v>
      </c>
      <c r="H48" s="16">
        <v>0.98694470999999995</v>
      </c>
      <c r="I48" s="14">
        <v>19.387713649999998</v>
      </c>
      <c r="J48" s="16">
        <v>1.98721809</v>
      </c>
      <c r="K48" s="14">
        <v>22.73908784</v>
      </c>
      <c r="L48" s="16">
        <v>2.1768474599999998</v>
      </c>
      <c r="M48" s="14">
        <v>35.889544280000003</v>
      </c>
      <c r="N48" s="16">
        <v>2.5340007400000002</v>
      </c>
      <c r="O48" s="14" t="s">
        <v>139</v>
      </c>
      <c r="P48" s="16" t="s">
        <v>139</v>
      </c>
      <c r="Q48" s="14">
        <v>0</v>
      </c>
      <c r="R48" s="16">
        <v>0</v>
      </c>
      <c r="S48" s="14">
        <v>0</v>
      </c>
      <c r="T48" s="16">
        <v>0</v>
      </c>
      <c r="U48" s="14">
        <v>0</v>
      </c>
      <c r="V48" s="16">
        <v>0</v>
      </c>
      <c r="W48" s="14">
        <v>0</v>
      </c>
      <c r="X48" s="16">
        <v>0</v>
      </c>
    </row>
    <row r="49" spans="1:24"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c r="W49" s="17" t="s">
        <v>154</v>
      </c>
      <c r="X49" s="18" t="s">
        <v>154</v>
      </c>
    </row>
    <row r="50" spans="1:24" x14ac:dyDescent="0.25">
      <c r="A50" s="11" t="s">
        <v>183</v>
      </c>
      <c r="B50" s="13">
        <v>6158</v>
      </c>
      <c r="C50" s="14">
        <f>(5172/B50*100)</f>
        <v>83.988307892172784</v>
      </c>
      <c r="D50" s="15">
        <v>986</v>
      </c>
      <c r="E50" s="14">
        <v>25.82041414</v>
      </c>
      <c r="F50" s="16">
        <v>1.93975735</v>
      </c>
      <c r="G50" s="14">
        <v>10.603466859999999</v>
      </c>
      <c r="H50" s="16">
        <v>1.3016334899999999</v>
      </c>
      <c r="I50" s="14">
        <v>19.18187447</v>
      </c>
      <c r="J50" s="16">
        <v>1.5780696700000001</v>
      </c>
      <c r="K50" s="14">
        <v>16.13657804</v>
      </c>
      <c r="L50" s="16">
        <v>1.50702895</v>
      </c>
      <c r="M50" s="14">
        <v>28.257666489999998</v>
      </c>
      <c r="N50" s="16">
        <v>1.9516057099999999</v>
      </c>
      <c r="O50" s="14" t="s">
        <v>139</v>
      </c>
      <c r="P50" s="16" t="s">
        <v>139</v>
      </c>
      <c r="Q50" s="14">
        <v>0</v>
      </c>
      <c r="R50" s="16">
        <v>0</v>
      </c>
      <c r="S50" s="14">
        <v>0</v>
      </c>
      <c r="T50" s="16">
        <v>0</v>
      </c>
      <c r="U50" s="14">
        <v>0</v>
      </c>
      <c r="V50" s="16">
        <v>0</v>
      </c>
      <c r="W50" s="14">
        <v>0</v>
      </c>
      <c r="X50" s="16">
        <v>0</v>
      </c>
    </row>
    <row r="51" spans="1:24" x14ac:dyDescent="0.25">
      <c r="A51" s="11" t="s">
        <v>184</v>
      </c>
      <c r="B51" s="13">
        <v>3494</v>
      </c>
      <c r="C51" s="14">
        <f>(2986/B51*100)</f>
        <v>85.460789925586724</v>
      </c>
      <c r="D51" s="15">
        <v>508</v>
      </c>
      <c r="E51" s="14">
        <v>16.524200220000001</v>
      </c>
      <c r="F51" s="16">
        <v>1.60039591</v>
      </c>
      <c r="G51" s="14">
        <v>10.30254422</v>
      </c>
      <c r="H51" s="16">
        <v>1.4919094900000001</v>
      </c>
      <c r="I51" s="14">
        <v>24.462239910000001</v>
      </c>
      <c r="J51" s="16">
        <v>1.8918032</v>
      </c>
      <c r="K51" s="14">
        <v>20.545751500000001</v>
      </c>
      <c r="L51" s="16">
        <v>1.8748197499999999</v>
      </c>
      <c r="M51" s="14">
        <v>28.165264140000001</v>
      </c>
      <c r="N51" s="16">
        <v>2.1206899699999999</v>
      </c>
      <c r="O51" s="14" t="s">
        <v>139</v>
      </c>
      <c r="P51" s="16" t="s">
        <v>139</v>
      </c>
      <c r="Q51" s="14">
        <v>0</v>
      </c>
      <c r="R51" s="16">
        <v>0</v>
      </c>
      <c r="S51" s="14">
        <v>0</v>
      </c>
      <c r="T51" s="16">
        <v>0</v>
      </c>
      <c r="U51" s="14">
        <v>0</v>
      </c>
      <c r="V51" s="16">
        <v>0</v>
      </c>
      <c r="W51" s="14">
        <v>0</v>
      </c>
      <c r="X51" s="16">
        <v>0</v>
      </c>
    </row>
    <row r="52" spans="1:24" x14ac:dyDescent="0.25">
      <c r="A52" s="11" t="s">
        <v>185</v>
      </c>
      <c r="B52" s="13">
        <v>3013</v>
      </c>
      <c r="C52" s="14">
        <f>(2484/B52*100)</f>
        <v>82.44274809160305</v>
      </c>
      <c r="D52" s="15">
        <v>529</v>
      </c>
      <c r="E52" s="14">
        <v>5.9031420299999997</v>
      </c>
      <c r="F52" s="16">
        <v>1.1529537400000001</v>
      </c>
      <c r="G52" s="14">
        <v>8.5052477300000007</v>
      </c>
      <c r="H52" s="16">
        <v>1.2931654400000001</v>
      </c>
      <c r="I52" s="14">
        <v>19.657869779999999</v>
      </c>
      <c r="J52" s="16">
        <v>1.6151929599999999</v>
      </c>
      <c r="K52" s="14">
        <v>18.45044841</v>
      </c>
      <c r="L52" s="16">
        <v>1.7585303800000001</v>
      </c>
      <c r="M52" s="14">
        <v>47.483292050000003</v>
      </c>
      <c r="N52" s="16">
        <v>2.3740703700000001</v>
      </c>
      <c r="O52" s="14" t="s">
        <v>139</v>
      </c>
      <c r="P52" s="16" t="s">
        <v>139</v>
      </c>
      <c r="Q52" s="14">
        <v>0</v>
      </c>
      <c r="R52" s="16">
        <v>0</v>
      </c>
      <c r="S52" s="14">
        <v>0</v>
      </c>
      <c r="T52" s="16">
        <v>0</v>
      </c>
      <c r="U52" s="14">
        <v>0</v>
      </c>
      <c r="V52" s="16">
        <v>0</v>
      </c>
      <c r="W52" s="14">
        <v>0</v>
      </c>
      <c r="X52" s="16">
        <v>0</v>
      </c>
    </row>
    <row r="53" spans="1:24" x14ac:dyDescent="0.25">
      <c r="A53" s="11" t="s">
        <v>186</v>
      </c>
      <c r="B53" s="13">
        <v>2760</v>
      </c>
      <c r="C53" s="14">
        <f>(2295/B53*100)</f>
        <v>83.152173913043484</v>
      </c>
      <c r="D53" s="15">
        <v>465</v>
      </c>
      <c r="E53" s="14">
        <v>12.859836960000001</v>
      </c>
      <c r="F53" s="16">
        <v>1.5901291</v>
      </c>
      <c r="G53" s="14">
        <v>9.2585784600000007</v>
      </c>
      <c r="H53" s="16">
        <v>1.53472283</v>
      </c>
      <c r="I53" s="14">
        <v>24.081483540000001</v>
      </c>
      <c r="J53" s="16">
        <v>1.9695654600000001</v>
      </c>
      <c r="K53" s="14">
        <v>16.476867290000001</v>
      </c>
      <c r="L53" s="16">
        <v>1.8960322999999999</v>
      </c>
      <c r="M53" s="14">
        <v>37.323233739999999</v>
      </c>
      <c r="N53" s="16">
        <v>2.0703854499999998</v>
      </c>
      <c r="O53" s="14" t="s">
        <v>139</v>
      </c>
      <c r="P53" s="16" t="s">
        <v>139</v>
      </c>
      <c r="Q53" s="14">
        <v>0</v>
      </c>
      <c r="R53" s="16">
        <v>0</v>
      </c>
      <c r="S53" s="14">
        <v>0</v>
      </c>
      <c r="T53" s="16">
        <v>0</v>
      </c>
      <c r="U53" s="14">
        <v>0</v>
      </c>
      <c r="V53" s="16">
        <v>0</v>
      </c>
      <c r="W53" s="14">
        <v>0</v>
      </c>
      <c r="X53" s="16">
        <v>0</v>
      </c>
    </row>
    <row r="54" spans="1:24"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c r="W54" s="17" t="s">
        <v>154</v>
      </c>
      <c r="X54" s="18" t="s">
        <v>154</v>
      </c>
    </row>
    <row r="55" spans="1:24"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c r="W55" s="17" t="s">
        <v>154</v>
      </c>
      <c r="X55" s="18" t="s">
        <v>154</v>
      </c>
    </row>
    <row r="56" spans="1:24" x14ac:dyDescent="0.25">
      <c r="A56" s="11" t="s">
        <v>189</v>
      </c>
      <c r="B56" s="13">
        <v>2675</v>
      </c>
      <c r="C56" s="14">
        <f>(2214/B56*100)</f>
        <v>82.766355140186917</v>
      </c>
      <c r="D56" s="15">
        <v>461</v>
      </c>
      <c r="E56" s="14">
        <v>2.8699898099999999</v>
      </c>
      <c r="F56" s="16">
        <v>0.84856944999999995</v>
      </c>
      <c r="G56" s="14">
        <v>4.5050641999999996</v>
      </c>
      <c r="H56" s="16">
        <v>0.88556436999999999</v>
      </c>
      <c r="I56" s="14">
        <v>26.78858052</v>
      </c>
      <c r="J56" s="16">
        <v>2.3224029599999998</v>
      </c>
      <c r="K56" s="14">
        <v>14.5935044</v>
      </c>
      <c r="L56" s="16">
        <v>1.51400734</v>
      </c>
      <c r="M56" s="14">
        <v>51.242861069999996</v>
      </c>
      <c r="N56" s="16">
        <v>2.6705720799999999</v>
      </c>
      <c r="O56" s="14" t="s">
        <v>139</v>
      </c>
      <c r="P56" s="16" t="s">
        <v>139</v>
      </c>
      <c r="Q56" s="14">
        <v>0</v>
      </c>
      <c r="R56" s="16">
        <v>0</v>
      </c>
      <c r="S56" s="14">
        <v>0</v>
      </c>
      <c r="T56" s="16">
        <v>0</v>
      </c>
      <c r="U56" s="14">
        <v>0</v>
      </c>
      <c r="V56" s="16">
        <v>0</v>
      </c>
      <c r="W56" s="14">
        <v>0</v>
      </c>
      <c r="X56" s="16">
        <v>0</v>
      </c>
    </row>
    <row r="57" spans="1:24"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c r="W57" s="17" t="s">
        <v>154</v>
      </c>
      <c r="X57" s="18" t="s">
        <v>154</v>
      </c>
    </row>
    <row r="58" spans="1:24"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c r="W58" s="17" t="s">
        <v>154</v>
      </c>
      <c r="X58" s="18" t="s">
        <v>154</v>
      </c>
    </row>
    <row r="59" spans="1:24"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c r="W59" s="17" t="s">
        <v>154</v>
      </c>
      <c r="X59" s="18" t="s">
        <v>154</v>
      </c>
    </row>
    <row r="60" spans="1:24"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c r="W60" s="17" t="s">
        <v>154</v>
      </c>
      <c r="X60" s="18" t="s">
        <v>154</v>
      </c>
    </row>
    <row r="61" spans="1:24" x14ac:dyDescent="0.25">
      <c r="A61" s="11" t="s">
        <v>194</v>
      </c>
      <c r="B61" s="13">
        <v>3201</v>
      </c>
      <c r="C61" s="14">
        <f>(2649/B61*100)</f>
        <v>82.755388940955953</v>
      </c>
      <c r="D61" s="15">
        <v>552</v>
      </c>
      <c r="E61" s="14">
        <v>9.1362877000000005</v>
      </c>
      <c r="F61" s="16">
        <v>1.3714601200000001</v>
      </c>
      <c r="G61" s="14">
        <v>6.81543644</v>
      </c>
      <c r="H61" s="16">
        <v>1.12411214</v>
      </c>
      <c r="I61" s="14">
        <v>22.422574919999999</v>
      </c>
      <c r="J61" s="16">
        <v>2.0946507400000001</v>
      </c>
      <c r="K61" s="14">
        <v>20.01642159</v>
      </c>
      <c r="L61" s="16">
        <v>1.8023692499999999</v>
      </c>
      <c r="M61" s="14">
        <v>41.609279360000002</v>
      </c>
      <c r="N61" s="16">
        <v>2.2429188299999998</v>
      </c>
      <c r="O61" s="14" t="s">
        <v>139</v>
      </c>
      <c r="P61" s="16" t="s">
        <v>139</v>
      </c>
      <c r="Q61" s="14">
        <v>0</v>
      </c>
      <c r="R61" s="16">
        <v>0</v>
      </c>
      <c r="S61" s="14">
        <v>0</v>
      </c>
      <c r="T61" s="16">
        <v>0</v>
      </c>
      <c r="U61" s="14">
        <v>0</v>
      </c>
      <c r="V61" s="16">
        <v>0</v>
      </c>
      <c r="W61" s="14">
        <v>0</v>
      </c>
      <c r="X61" s="16">
        <v>0</v>
      </c>
    </row>
    <row r="62" spans="1:24" x14ac:dyDescent="0.25">
      <c r="A62" s="11" t="s">
        <v>195</v>
      </c>
      <c r="B62" s="13">
        <v>2230</v>
      </c>
      <c r="C62" s="14">
        <f>(1851/B62*100)</f>
        <v>83.004484304932731</v>
      </c>
      <c r="D62" s="15">
        <v>379</v>
      </c>
      <c r="E62" s="14">
        <v>3.69851069</v>
      </c>
      <c r="F62" s="16">
        <v>0.91920058999999998</v>
      </c>
      <c r="G62" s="14">
        <v>4.78183604</v>
      </c>
      <c r="H62" s="16">
        <v>0.95132894999999995</v>
      </c>
      <c r="I62" s="14">
        <v>28.206340310000002</v>
      </c>
      <c r="J62" s="16">
        <v>2.5083017000000001</v>
      </c>
      <c r="K62" s="14">
        <v>16.07789708</v>
      </c>
      <c r="L62" s="16">
        <v>1.9731261</v>
      </c>
      <c r="M62" s="14">
        <v>47.235415879999998</v>
      </c>
      <c r="N62" s="16">
        <v>2.6202830499999998</v>
      </c>
      <c r="O62" s="14" t="s">
        <v>139</v>
      </c>
      <c r="P62" s="16" t="s">
        <v>139</v>
      </c>
      <c r="Q62" s="14">
        <v>0</v>
      </c>
      <c r="R62" s="16">
        <v>0</v>
      </c>
      <c r="S62" s="14">
        <v>0</v>
      </c>
      <c r="T62" s="16">
        <v>0</v>
      </c>
      <c r="U62" s="14">
        <v>0</v>
      </c>
      <c r="V62" s="16">
        <v>0</v>
      </c>
      <c r="W62" s="14">
        <v>0</v>
      </c>
      <c r="X62" s="16">
        <v>0</v>
      </c>
    </row>
    <row r="63" spans="1:24"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c r="W63" s="17" t="s">
        <v>154</v>
      </c>
      <c r="X63" s="18" t="s">
        <v>154</v>
      </c>
    </row>
    <row r="64" spans="1:24"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c r="W64" s="17" t="s">
        <v>154</v>
      </c>
      <c r="X64" s="18" t="s">
        <v>154</v>
      </c>
    </row>
    <row r="65" spans="1:24"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c r="W65" s="17" t="s">
        <v>154</v>
      </c>
      <c r="X65" s="18" t="s">
        <v>154</v>
      </c>
    </row>
    <row r="66" spans="1:24" x14ac:dyDescent="0.25">
      <c r="A66" s="11" t="s">
        <v>199</v>
      </c>
      <c r="B66" s="13">
        <v>2771</v>
      </c>
      <c r="C66" s="14">
        <f>(2312/B66*100)</f>
        <v>83.435582822085891</v>
      </c>
      <c r="D66" s="15">
        <v>459</v>
      </c>
      <c r="E66" s="14">
        <v>23.70789156</v>
      </c>
      <c r="F66" s="16">
        <v>1.8951684</v>
      </c>
      <c r="G66" s="14">
        <v>10.580398369999999</v>
      </c>
      <c r="H66" s="16">
        <v>1.49001815</v>
      </c>
      <c r="I66" s="14">
        <v>25.980243869999999</v>
      </c>
      <c r="J66" s="16">
        <v>1.8408315099999999</v>
      </c>
      <c r="K66" s="14">
        <v>14.3925603</v>
      </c>
      <c r="L66" s="16">
        <v>1.76750819</v>
      </c>
      <c r="M66" s="14">
        <v>25.338905910000001</v>
      </c>
      <c r="N66" s="16">
        <v>2.1340956200000001</v>
      </c>
      <c r="O66" s="14" t="s">
        <v>139</v>
      </c>
      <c r="P66" s="16" t="s">
        <v>139</v>
      </c>
      <c r="Q66" s="14">
        <v>0</v>
      </c>
      <c r="R66" s="16">
        <v>0</v>
      </c>
      <c r="S66" s="14">
        <v>0</v>
      </c>
      <c r="T66" s="16">
        <v>0</v>
      </c>
      <c r="U66" s="14">
        <v>0</v>
      </c>
      <c r="V66" s="16">
        <v>0</v>
      </c>
      <c r="W66" s="14">
        <v>0</v>
      </c>
      <c r="X66" s="16">
        <v>0</v>
      </c>
    </row>
    <row r="67" spans="1:24" x14ac:dyDescent="0.25">
      <c r="A67" s="11" t="s">
        <v>200</v>
      </c>
      <c r="B67" s="13">
        <v>3460</v>
      </c>
      <c r="C67" s="14">
        <f>(2988/B67*100)</f>
        <v>86.358381502890168</v>
      </c>
      <c r="D67" s="15">
        <v>472</v>
      </c>
      <c r="E67" s="14">
        <v>27.205404590000001</v>
      </c>
      <c r="F67" s="16">
        <v>2.44587909</v>
      </c>
      <c r="G67" s="14">
        <v>9.9265298400000006</v>
      </c>
      <c r="H67" s="16">
        <v>1.26436796</v>
      </c>
      <c r="I67" s="14">
        <v>18.310400250000001</v>
      </c>
      <c r="J67" s="16">
        <v>1.6229648400000001</v>
      </c>
      <c r="K67" s="14">
        <v>16.704496150000001</v>
      </c>
      <c r="L67" s="16">
        <v>1.6699372299999999</v>
      </c>
      <c r="M67" s="14">
        <v>27.85316916</v>
      </c>
      <c r="N67" s="16">
        <v>2.05615938</v>
      </c>
      <c r="O67" s="14" t="s">
        <v>139</v>
      </c>
      <c r="P67" s="16" t="s">
        <v>139</v>
      </c>
      <c r="Q67" s="14">
        <v>0</v>
      </c>
      <c r="R67" s="16">
        <v>0</v>
      </c>
      <c r="S67" s="14">
        <v>0</v>
      </c>
      <c r="T67" s="16">
        <v>0</v>
      </c>
      <c r="U67" s="14">
        <v>0</v>
      </c>
      <c r="V67" s="16">
        <v>0</v>
      </c>
      <c r="W67" s="14">
        <v>0</v>
      </c>
      <c r="X67" s="16">
        <v>0</v>
      </c>
    </row>
    <row r="68" spans="1:24"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c r="W68" s="17" t="s">
        <v>154</v>
      </c>
      <c r="X68" s="18" t="s">
        <v>154</v>
      </c>
    </row>
    <row r="69" spans="1:24"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c r="W69" s="17" t="s">
        <v>154</v>
      </c>
      <c r="X69" s="18" t="s">
        <v>154</v>
      </c>
    </row>
    <row r="70" spans="1:24" x14ac:dyDescent="0.25">
      <c r="A70" s="11" t="s">
        <v>203</v>
      </c>
      <c r="B70" s="13">
        <v>3107</v>
      </c>
      <c r="C70" s="14">
        <f>(2589/B70*100)</f>
        <v>83.32796910202768</v>
      </c>
      <c r="D70" s="15">
        <v>518</v>
      </c>
      <c r="E70" s="14">
        <v>8.8099871299999997</v>
      </c>
      <c r="F70" s="16">
        <v>1.12571669</v>
      </c>
      <c r="G70" s="14">
        <v>8.7644439799999994</v>
      </c>
      <c r="H70" s="16">
        <v>1.2745658499999999</v>
      </c>
      <c r="I70" s="14">
        <v>27.88568145</v>
      </c>
      <c r="J70" s="16">
        <v>1.9279857600000001</v>
      </c>
      <c r="K70" s="14">
        <v>19.31463119</v>
      </c>
      <c r="L70" s="16">
        <v>2.01256696</v>
      </c>
      <c r="M70" s="14">
        <v>35.225256250000001</v>
      </c>
      <c r="N70" s="16">
        <v>2.6853127899999998</v>
      </c>
      <c r="O70" s="14" t="s">
        <v>139</v>
      </c>
      <c r="P70" s="16" t="s">
        <v>139</v>
      </c>
      <c r="Q70" s="14">
        <v>0</v>
      </c>
      <c r="R70" s="16">
        <v>0</v>
      </c>
      <c r="S70" s="14">
        <v>0</v>
      </c>
      <c r="T70" s="16">
        <v>0</v>
      </c>
      <c r="U70" s="14">
        <v>0</v>
      </c>
      <c r="V70" s="16">
        <v>0</v>
      </c>
      <c r="W70" s="14">
        <v>0</v>
      </c>
      <c r="X70" s="16">
        <v>0</v>
      </c>
    </row>
    <row r="71" spans="1:24"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c r="W71" s="17" t="s">
        <v>154</v>
      </c>
      <c r="X71" s="18" t="s">
        <v>154</v>
      </c>
    </row>
    <row r="72" spans="1:24" x14ac:dyDescent="0.25">
      <c r="A72" s="11" t="s">
        <v>205</v>
      </c>
      <c r="B72" s="13">
        <v>3819</v>
      </c>
      <c r="C72" s="14">
        <f>(3169/B72*100)</f>
        <v>82.979837653836086</v>
      </c>
      <c r="D72" s="15">
        <v>650</v>
      </c>
      <c r="E72" s="14">
        <v>6.5380100099999998</v>
      </c>
      <c r="F72" s="16">
        <v>0.95452039</v>
      </c>
      <c r="G72" s="14">
        <v>3.89452468</v>
      </c>
      <c r="H72" s="16">
        <v>0.78915508999999995</v>
      </c>
      <c r="I72" s="14">
        <v>18.051730989999999</v>
      </c>
      <c r="J72" s="16">
        <v>1.7385050900000001</v>
      </c>
      <c r="K72" s="14">
        <v>21.575584320000001</v>
      </c>
      <c r="L72" s="16">
        <v>1.6636667700000001</v>
      </c>
      <c r="M72" s="14">
        <v>49.940149990000002</v>
      </c>
      <c r="N72" s="16">
        <v>1.8669176999999999</v>
      </c>
      <c r="O72" s="14" t="s">
        <v>139</v>
      </c>
      <c r="P72" s="16" t="s">
        <v>139</v>
      </c>
      <c r="Q72" s="14">
        <v>0</v>
      </c>
      <c r="R72" s="16">
        <v>0</v>
      </c>
      <c r="S72" s="14">
        <v>0</v>
      </c>
      <c r="T72" s="16">
        <v>0</v>
      </c>
      <c r="U72" s="14">
        <v>0</v>
      </c>
      <c r="V72" s="16">
        <v>0</v>
      </c>
      <c r="W72" s="14">
        <v>0</v>
      </c>
      <c r="X72" s="16">
        <v>0</v>
      </c>
    </row>
    <row r="73" spans="1:24" x14ac:dyDescent="0.25">
      <c r="A73" s="11" t="s">
        <v>206</v>
      </c>
      <c r="B73" s="13">
        <v>4652</v>
      </c>
      <c r="C73" s="14">
        <f>(3910/B73*100)</f>
        <v>84.049871023215815</v>
      </c>
      <c r="D73" s="15">
        <v>742</v>
      </c>
      <c r="E73" s="14">
        <v>25.288748649999999</v>
      </c>
      <c r="F73" s="16">
        <v>2.3521080599999999</v>
      </c>
      <c r="G73" s="14">
        <v>10.25823507</v>
      </c>
      <c r="H73" s="16">
        <v>1.4703313</v>
      </c>
      <c r="I73" s="14">
        <v>25.87277744</v>
      </c>
      <c r="J73" s="16">
        <v>2.0751535200000002</v>
      </c>
      <c r="K73" s="14">
        <v>18.999356890000001</v>
      </c>
      <c r="L73" s="16">
        <v>1.8241618500000001</v>
      </c>
      <c r="M73" s="14">
        <v>19.580881949999998</v>
      </c>
      <c r="N73" s="16">
        <v>1.87927405</v>
      </c>
      <c r="O73" s="14" t="s">
        <v>139</v>
      </c>
      <c r="P73" s="16" t="s">
        <v>139</v>
      </c>
      <c r="Q73" s="14">
        <v>0</v>
      </c>
      <c r="R73" s="16">
        <v>0</v>
      </c>
      <c r="S73" s="14">
        <v>0</v>
      </c>
      <c r="T73" s="16">
        <v>0</v>
      </c>
      <c r="U73" s="14">
        <v>0</v>
      </c>
      <c r="V73" s="16">
        <v>0</v>
      </c>
      <c r="W73" s="14">
        <v>0</v>
      </c>
      <c r="X73" s="16">
        <v>0</v>
      </c>
    </row>
    <row r="74" spans="1:24"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c r="W74" s="17" t="s">
        <v>154</v>
      </c>
      <c r="X74" s="18" t="s">
        <v>154</v>
      </c>
    </row>
    <row r="75" spans="1:24" x14ac:dyDescent="0.25">
      <c r="A75" s="11" t="s">
        <v>208</v>
      </c>
      <c r="B75" s="13">
        <v>2969</v>
      </c>
      <c r="C75" s="14">
        <f>(2524/B75*100)</f>
        <v>85.011788480970012</v>
      </c>
      <c r="D75" s="15">
        <v>445</v>
      </c>
      <c r="E75" s="14">
        <v>42.150323010000001</v>
      </c>
      <c r="F75" s="16">
        <v>2.96117125</v>
      </c>
      <c r="G75" s="14">
        <v>20.566063360000001</v>
      </c>
      <c r="H75" s="16">
        <v>1.8200626600000001</v>
      </c>
      <c r="I75" s="14">
        <v>23.304172959999999</v>
      </c>
      <c r="J75" s="16">
        <v>1.9692970400000001</v>
      </c>
      <c r="K75" s="14">
        <v>5.4015796800000002</v>
      </c>
      <c r="L75" s="16">
        <v>1.19290016</v>
      </c>
      <c r="M75" s="14">
        <v>8.5778609800000005</v>
      </c>
      <c r="N75" s="16">
        <v>1.2941722200000001</v>
      </c>
      <c r="O75" s="14" t="s">
        <v>139</v>
      </c>
      <c r="P75" s="16" t="s">
        <v>139</v>
      </c>
      <c r="Q75" s="14">
        <v>0</v>
      </c>
      <c r="R75" s="16">
        <v>0</v>
      </c>
      <c r="S75" s="14">
        <v>0</v>
      </c>
      <c r="T75" s="16">
        <v>0</v>
      </c>
      <c r="U75" s="14">
        <v>0</v>
      </c>
      <c r="V75" s="16">
        <v>0</v>
      </c>
      <c r="W75" s="14">
        <v>0</v>
      </c>
      <c r="X75" s="16">
        <v>0</v>
      </c>
    </row>
    <row r="76" spans="1:24" x14ac:dyDescent="0.25">
      <c r="A76" s="11" t="s">
        <v>209</v>
      </c>
      <c r="B76" s="13">
        <v>7115</v>
      </c>
      <c r="C76" s="14">
        <f>(5901/B76*100)</f>
        <v>82.937456078706958</v>
      </c>
      <c r="D76" s="15">
        <v>1214</v>
      </c>
      <c r="E76" s="14">
        <v>13.722648810000001</v>
      </c>
      <c r="F76" s="16">
        <v>1.20359679</v>
      </c>
      <c r="G76" s="14">
        <v>12.380129330000001</v>
      </c>
      <c r="H76" s="16">
        <v>1.2098616099999999</v>
      </c>
      <c r="I76" s="14">
        <v>28.200167140000001</v>
      </c>
      <c r="J76" s="16">
        <v>1.60003791</v>
      </c>
      <c r="K76" s="14">
        <v>14.476930640000001</v>
      </c>
      <c r="L76" s="16">
        <v>1.30444797</v>
      </c>
      <c r="M76" s="14">
        <v>31.220124070000001</v>
      </c>
      <c r="N76" s="16">
        <v>1.70469615</v>
      </c>
      <c r="O76" s="14" t="s">
        <v>139</v>
      </c>
      <c r="P76" s="16" t="s">
        <v>139</v>
      </c>
      <c r="Q76" s="14">
        <v>0</v>
      </c>
      <c r="R76" s="16">
        <v>0</v>
      </c>
      <c r="S76" s="14">
        <v>0</v>
      </c>
      <c r="T76" s="16">
        <v>0</v>
      </c>
      <c r="U76" s="14">
        <v>0</v>
      </c>
      <c r="V76" s="16">
        <v>0</v>
      </c>
      <c r="W76" s="14">
        <v>0</v>
      </c>
      <c r="X76" s="16">
        <v>0</v>
      </c>
    </row>
    <row r="77" spans="1:24" x14ac:dyDescent="0.25">
      <c r="A77" s="11" t="s">
        <v>210</v>
      </c>
      <c r="B77" s="13">
        <v>3154</v>
      </c>
      <c r="C77" s="14">
        <f>(2634/B77*100)</f>
        <v>83.512999365884582</v>
      </c>
      <c r="D77" s="15">
        <v>520</v>
      </c>
      <c r="E77" s="14">
        <v>16.477711960000001</v>
      </c>
      <c r="F77" s="16">
        <v>1.7190637099999999</v>
      </c>
      <c r="G77" s="14">
        <v>9.9633581099999997</v>
      </c>
      <c r="H77" s="16">
        <v>1.4519669500000001</v>
      </c>
      <c r="I77" s="14">
        <v>17.378826140000001</v>
      </c>
      <c r="J77" s="16">
        <v>1.89117545</v>
      </c>
      <c r="K77" s="14">
        <v>17.355899300000001</v>
      </c>
      <c r="L77" s="16">
        <v>1.45461229</v>
      </c>
      <c r="M77" s="14">
        <v>38.82420449</v>
      </c>
      <c r="N77" s="16">
        <v>2.0775410299999999</v>
      </c>
      <c r="O77" s="14" t="s">
        <v>139</v>
      </c>
      <c r="P77" s="16" t="s">
        <v>139</v>
      </c>
      <c r="Q77" s="14">
        <v>0</v>
      </c>
      <c r="R77" s="16">
        <v>0</v>
      </c>
      <c r="S77" s="14">
        <v>0</v>
      </c>
      <c r="T77" s="16">
        <v>0</v>
      </c>
      <c r="U77" s="14">
        <v>0</v>
      </c>
      <c r="V77" s="16">
        <v>0</v>
      </c>
      <c r="W77" s="14">
        <v>0</v>
      </c>
      <c r="X77" s="16">
        <v>0</v>
      </c>
    </row>
    <row r="78" spans="1:24"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c r="W78" s="17" t="s">
        <v>154</v>
      </c>
      <c r="X78" s="18" t="s">
        <v>154</v>
      </c>
    </row>
    <row r="79" spans="1:24"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c r="W79" s="17" t="s">
        <v>154</v>
      </c>
      <c r="X79" s="18" t="s">
        <v>154</v>
      </c>
    </row>
    <row r="80" spans="1:24"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c r="W80" s="17" t="s">
        <v>154</v>
      </c>
      <c r="X80" s="18" t="s">
        <v>154</v>
      </c>
    </row>
    <row r="81" spans="1:24" x14ac:dyDescent="0.25">
      <c r="A81" s="19" t="s">
        <v>214</v>
      </c>
      <c r="B81" s="13">
        <v>4698</v>
      </c>
      <c r="C81" s="14">
        <f>(4520/B81*100)</f>
        <v>96.211153682418043</v>
      </c>
      <c r="D81" s="15">
        <v>178</v>
      </c>
      <c r="E81" s="14">
        <v>12.227254670000001</v>
      </c>
      <c r="F81" s="16">
        <v>2.8697760300000001</v>
      </c>
      <c r="G81" s="14">
        <v>7.1816920900000003</v>
      </c>
      <c r="H81" s="16">
        <v>2.1900686399999998</v>
      </c>
      <c r="I81" s="14">
        <v>32.277465599999999</v>
      </c>
      <c r="J81" s="16">
        <v>4.0220261600000002</v>
      </c>
      <c r="K81" s="14">
        <v>23.008534610000002</v>
      </c>
      <c r="L81" s="16">
        <v>2.56160751</v>
      </c>
      <c r="M81" s="14">
        <v>25.305053019999999</v>
      </c>
      <c r="N81" s="16">
        <v>3.0730148800000001</v>
      </c>
      <c r="O81" s="14" t="s">
        <v>139</v>
      </c>
      <c r="P81" s="16" t="s">
        <v>139</v>
      </c>
      <c r="Q81" s="14">
        <v>0</v>
      </c>
      <c r="R81" s="16">
        <v>0</v>
      </c>
      <c r="S81" s="14">
        <v>0</v>
      </c>
      <c r="T81" s="16">
        <v>0</v>
      </c>
      <c r="U81" s="14">
        <v>0</v>
      </c>
      <c r="V81" s="16">
        <v>0</v>
      </c>
      <c r="W81" s="14">
        <v>0</v>
      </c>
      <c r="X81" s="16">
        <v>0</v>
      </c>
    </row>
    <row r="82" spans="1:24"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c r="W82" s="20" t="s">
        <v>215</v>
      </c>
      <c r="X82" s="20" t="s">
        <v>215</v>
      </c>
    </row>
    <row r="83" spans="1:24" x14ac:dyDescent="0.25">
      <c r="A83" s="3" t="s">
        <v>216</v>
      </c>
    </row>
    <row r="84" spans="1:24" x14ac:dyDescent="0.25">
      <c r="A84" s="22" t="s">
        <v>217</v>
      </c>
      <c r="B84" s="23"/>
      <c r="C84" s="23"/>
      <c r="D84" s="23"/>
      <c r="E84" s="23"/>
      <c r="F84" s="23"/>
      <c r="G84" s="23"/>
      <c r="H84" s="23"/>
      <c r="I84" s="23"/>
      <c r="J84" s="23"/>
      <c r="K84" s="23"/>
      <c r="L84" s="23"/>
      <c r="M84" s="23"/>
      <c r="N84" s="23"/>
      <c r="O84" s="23"/>
      <c r="P84" s="23"/>
      <c r="Q84" s="23"/>
      <c r="R84" s="23"/>
      <c r="S84" s="23"/>
      <c r="T84" s="23"/>
      <c r="U84" s="23"/>
      <c r="V84" s="23"/>
      <c r="W84" s="23"/>
      <c r="X84" s="23"/>
    </row>
    <row r="85" spans="1:24" x14ac:dyDescent="0.25">
      <c r="A85" s="22" t="s">
        <v>218</v>
      </c>
      <c r="B85" s="23"/>
      <c r="C85" s="23"/>
      <c r="D85" s="23"/>
      <c r="E85" s="23"/>
      <c r="F85" s="23"/>
      <c r="G85" s="23"/>
      <c r="H85" s="23"/>
      <c r="I85" s="23"/>
      <c r="J85" s="23"/>
      <c r="K85" s="23"/>
      <c r="L85" s="23"/>
      <c r="M85" s="23"/>
      <c r="N85" s="23"/>
      <c r="O85" s="23"/>
      <c r="P85" s="23"/>
      <c r="Q85" s="23"/>
      <c r="R85" s="23"/>
      <c r="S85" s="23"/>
      <c r="T85" s="23"/>
      <c r="U85" s="23"/>
      <c r="V85" s="23"/>
      <c r="W85" s="23"/>
      <c r="X85" s="23"/>
    </row>
    <row r="86" spans="1:24"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c r="W86" s="23"/>
      <c r="X86" s="23"/>
    </row>
    <row r="87" spans="1:24"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c r="W87" s="23"/>
      <c r="X87" s="23"/>
    </row>
    <row r="88" spans="1:24"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c r="W88" s="23"/>
      <c r="X88" s="23"/>
    </row>
    <row r="89" spans="1:24"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c r="W89" s="23"/>
      <c r="X89" s="23"/>
    </row>
    <row r="90" spans="1:24"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c r="W90" s="23"/>
      <c r="X90" s="23"/>
    </row>
    <row r="91" spans="1:24"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c r="W91" s="23"/>
      <c r="X91" s="23"/>
    </row>
    <row r="92" spans="1:24"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c r="W92" s="23"/>
      <c r="X92" s="23"/>
    </row>
    <row r="93" spans="1:24"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c r="W93" s="23"/>
      <c r="X93" s="23"/>
    </row>
    <row r="94" spans="1:24"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c r="W94" s="23"/>
      <c r="X94" s="23"/>
    </row>
    <row r="95" spans="1:24"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c r="W95" s="23"/>
      <c r="X95" s="23"/>
    </row>
    <row r="96" spans="1:24"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c r="W96" s="23"/>
      <c r="X96" s="23"/>
    </row>
  </sheetData>
  <mergeCells count="25">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 ref="A87:X87"/>
    <mergeCell ref="A88:X88"/>
    <mergeCell ref="A89:X89"/>
    <mergeCell ref="A90:X90"/>
    <mergeCell ref="A91:X91"/>
    <mergeCell ref="A92:X92"/>
    <mergeCell ref="A93:X93"/>
    <mergeCell ref="A94:X94"/>
    <mergeCell ref="A95:X95"/>
    <mergeCell ref="A96:X96"/>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26.711007380000002</v>
      </c>
      <c r="F7" s="16">
        <v>1.5823472700000001</v>
      </c>
      <c r="G7" s="14">
        <v>73.288992620000002</v>
      </c>
      <c r="H7" s="16">
        <v>1.5823472700000001</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27.492376960000001</v>
      </c>
      <c r="F8" s="16">
        <v>2.0686697199999999</v>
      </c>
      <c r="G8" s="14">
        <v>72.507623039999999</v>
      </c>
      <c r="H8" s="16">
        <v>2.0686697199999999</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26.197687720000001</v>
      </c>
      <c r="F9" s="16">
        <v>1.72838216</v>
      </c>
      <c r="G9" s="14">
        <v>73.802312279999995</v>
      </c>
      <c r="H9" s="16">
        <v>1.72838216</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25.198770679999999</v>
      </c>
      <c r="F10" s="16">
        <v>1.4319188</v>
      </c>
      <c r="G10" s="14">
        <v>74.801229320000004</v>
      </c>
      <c r="H10" s="16">
        <v>1.4319188</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20.10230078</v>
      </c>
      <c r="F11" s="16">
        <v>2.1280455699999998</v>
      </c>
      <c r="G11" s="14">
        <v>79.897699220000007</v>
      </c>
      <c r="H11" s="16">
        <v>2.1280455699999998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28.350623410000001</v>
      </c>
      <c r="F12" s="16">
        <v>2.0277310900000001</v>
      </c>
      <c r="G12" s="14">
        <v>71.649376590000003</v>
      </c>
      <c r="H12" s="16">
        <v>2.0277310900000001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19.492400839999998</v>
      </c>
      <c r="F13" s="16">
        <v>1.8821736600000001</v>
      </c>
      <c r="G13" s="14">
        <v>80.507599159999998</v>
      </c>
      <c r="H13" s="16">
        <v>1.8821736600000001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18.22091867</v>
      </c>
      <c r="F14" s="16">
        <v>1.8616330699999999</v>
      </c>
      <c r="G14" s="14">
        <v>81.779081329999997</v>
      </c>
      <c r="H14" s="16">
        <v>1.8616330699999999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19.013845079999999</v>
      </c>
      <c r="F15" s="16">
        <v>1.59685992</v>
      </c>
      <c r="G15" s="14">
        <v>80.986154920000004</v>
      </c>
      <c r="H15" s="16">
        <v>1.59685992</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27.79240776</v>
      </c>
      <c r="F16" s="16">
        <v>1.79473719</v>
      </c>
      <c r="G16" s="14">
        <v>72.207592239999997</v>
      </c>
      <c r="H16" s="16">
        <v>1.79473719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22.659150870000001</v>
      </c>
      <c r="F17" s="16">
        <v>1.9888122800000001</v>
      </c>
      <c r="G17" s="14">
        <v>77.340849129999995</v>
      </c>
      <c r="H17" s="16">
        <v>1.9888122800000001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27.8733416</v>
      </c>
      <c r="F18" s="16">
        <v>2.5472451199999999</v>
      </c>
      <c r="G18" s="14">
        <v>72.126658399999997</v>
      </c>
      <c r="H18" s="16">
        <v>2.5472451199999999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16.10533049</v>
      </c>
      <c r="F19" s="16">
        <v>2.1000492500000001</v>
      </c>
      <c r="G19" s="14">
        <v>83.89466951</v>
      </c>
      <c r="H19" s="16">
        <v>2.1000492500000001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17.917701300000001</v>
      </c>
      <c r="F20" s="16">
        <v>2.2143911100000002</v>
      </c>
      <c r="G20" s="14">
        <v>82.082298699999996</v>
      </c>
      <c r="H20" s="16">
        <v>2.2143911100000002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26.380365730000001</v>
      </c>
      <c r="F22" s="16">
        <v>2.05028817</v>
      </c>
      <c r="G22" s="14">
        <v>73.619634270000006</v>
      </c>
      <c r="H22" s="16">
        <v>2.05028817</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24.315268530000001</v>
      </c>
      <c r="F23" s="16">
        <v>2.1725492700000002</v>
      </c>
      <c r="G23" s="14">
        <v>75.684731470000003</v>
      </c>
      <c r="H23" s="16">
        <v>2.1725492700000002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25.348831189999999</v>
      </c>
      <c r="F24" s="16">
        <v>1.84560086</v>
      </c>
      <c r="G24" s="14">
        <v>74.651168810000001</v>
      </c>
      <c r="H24" s="16">
        <v>1.84560086</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6.4832054699999997</v>
      </c>
      <c r="F25" s="16">
        <v>1.17128828</v>
      </c>
      <c r="G25" s="14">
        <v>93.516794529999999</v>
      </c>
      <c r="H25" s="16">
        <v>1.17128828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17.28521911</v>
      </c>
      <c r="F26" s="16">
        <v>1.8939017300000001</v>
      </c>
      <c r="G26" s="14">
        <v>82.71478089</v>
      </c>
      <c r="H26" s="16">
        <v>1.8939017300000001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23.920403889999999</v>
      </c>
      <c r="F27" s="16">
        <v>1.98183128</v>
      </c>
      <c r="G27" s="14">
        <v>76.079596109999997</v>
      </c>
      <c r="H27" s="16">
        <v>1.98183128</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26.400765119999999</v>
      </c>
      <c r="F28" s="16">
        <v>1.8086393599999999</v>
      </c>
      <c r="G28" s="14">
        <v>73.599234879999997</v>
      </c>
      <c r="H28" s="16">
        <v>1.8086393599999999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21.465397660000001</v>
      </c>
      <c r="F29" s="16">
        <v>2.0912644999999999</v>
      </c>
      <c r="G29" s="14">
        <v>78.534602340000006</v>
      </c>
      <c r="H29" s="16">
        <v>2.0912644999999999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29.131359209999999</v>
      </c>
      <c r="F30" s="16">
        <v>2.6901417099999998</v>
      </c>
      <c r="G30" s="14">
        <v>70.868640790000001</v>
      </c>
      <c r="H30" s="16">
        <v>2.6901417099999998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12.96563862</v>
      </c>
      <c r="F31" s="16">
        <v>1.63112586</v>
      </c>
      <c r="G31" s="14">
        <v>87.034361380000007</v>
      </c>
      <c r="H31" s="16">
        <v>1.63112586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35.836839500000004</v>
      </c>
      <c r="F33" s="16">
        <v>2.3603891899999998</v>
      </c>
      <c r="G33" s="14">
        <v>64.163160500000004</v>
      </c>
      <c r="H33" s="16">
        <v>2.3603891899999998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29.331659680000001</v>
      </c>
      <c r="F34" s="16">
        <v>2.3501545199999998</v>
      </c>
      <c r="G34" s="14">
        <v>70.668340319999999</v>
      </c>
      <c r="H34" s="16">
        <v>2.3501545199999998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21.24546058</v>
      </c>
      <c r="F35" s="16">
        <v>1.92035691</v>
      </c>
      <c r="G35" s="14">
        <v>78.75453942</v>
      </c>
      <c r="H35" s="16">
        <v>1.92035691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21.749848249999999</v>
      </c>
      <c r="F36" s="16">
        <v>1.81075893</v>
      </c>
      <c r="G36" s="14">
        <v>78.250151750000001</v>
      </c>
      <c r="H36" s="16">
        <v>1.81075893</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21.624822089999999</v>
      </c>
      <c r="F37" s="16">
        <v>1.9982652400000001</v>
      </c>
      <c r="G37" s="14">
        <v>78.375177910000005</v>
      </c>
      <c r="H37" s="16">
        <v>1.9982652400000001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24.722295290000002</v>
      </c>
      <c r="F39" s="16">
        <v>2.2803470300000002</v>
      </c>
      <c r="G39" s="14">
        <v>75.277704709999995</v>
      </c>
      <c r="H39" s="16">
        <v>2.2803470300000002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35.24017138</v>
      </c>
      <c r="F40" s="16">
        <v>2.0571056400000001</v>
      </c>
      <c r="G40" s="14">
        <v>64.759828619999993</v>
      </c>
      <c r="H40" s="16">
        <v>2.0571056400000001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24.735379089999999</v>
      </c>
      <c r="F41" s="16">
        <v>1.9891878700000001</v>
      </c>
      <c r="G41" s="14">
        <v>75.264620910000005</v>
      </c>
      <c r="H41" s="16">
        <v>1.9891878700000001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23.478462310312505</v>
      </c>
      <c r="F42" s="16">
        <f>IF(COUNT(F7:F41) &gt; 0, SQRT(SUMSQ(F7:F41)/(COUNT(F7:F41)*COUNT(F7:F41)) ), "—")</f>
        <v>0.35244577658712367</v>
      </c>
      <c r="G42" s="14">
        <f>IF(COUNT(G7:G41) &gt; 0, AVERAGE(G7:G41), "—")</f>
        <v>76.521537689687477</v>
      </c>
      <c r="H42" s="16">
        <f>IF(COUNT(H7:H41) &gt; 0, SQRT(SUMSQ(H7:H41)/(COUNT(H7:H41)*COUNT(H7:H41)) ), "—")</f>
        <v>0.35244577658712367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29.00266723</v>
      </c>
      <c r="F46" s="16">
        <v>1.54592956</v>
      </c>
      <c r="G46" s="14">
        <v>70.99733277</v>
      </c>
      <c r="H46" s="16">
        <v>1.54592956</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33.797635130000003</v>
      </c>
      <c r="F47" s="16">
        <v>2.4829992700000001</v>
      </c>
      <c r="G47" s="14">
        <v>66.202364869999997</v>
      </c>
      <c r="H47" s="16">
        <v>2.4829992700000001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16.57370573</v>
      </c>
      <c r="F48" s="16">
        <v>1.6913968699999999</v>
      </c>
      <c r="G48" s="14">
        <v>83.42629427</v>
      </c>
      <c r="H48" s="16">
        <v>1.6913968699999999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26.557209570000001</v>
      </c>
      <c r="F50" s="16">
        <v>1.9613275400000001</v>
      </c>
      <c r="G50" s="14">
        <v>73.442790430000002</v>
      </c>
      <c r="H50" s="16">
        <v>1.9613275400000001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14.144182969999999</v>
      </c>
      <c r="F51" s="16">
        <v>1.5091509599999999</v>
      </c>
      <c r="G51" s="14">
        <v>85.855817029999997</v>
      </c>
      <c r="H51" s="16">
        <v>1.5091509599999999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24.578394960000001</v>
      </c>
      <c r="F52" s="16">
        <v>1.72013035</v>
      </c>
      <c r="G52" s="14">
        <v>75.421605040000003</v>
      </c>
      <c r="H52" s="16">
        <v>1.72013035</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29.77105096</v>
      </c>
      <c r="F53" s="16">
        <v>1.9677936899999999</v>
      </c>
      <c r="G53" s="14">
        <v>70.228949040000003</v>
      </c>
      <c r="H53" s="16">
        <v>1.9677936899999999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15.705245010000001</v>
      </c>
      <c r="F56" s="16">
        <v>1.6047787099999999</v>
      </c>
      <c r="G56" s="14">
        <v>84.294754990000001</v>
      </c>
      <c r="H56" s="16">
        <v>1.6047787099999999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23.475581819999999</v>
      </c>
      <c r="F61" s="16">
        <v>1.97948506</v>
      </c>
      <c r="G61" s="14">
        <v>76.524418179999998</v>
      </c>
      <c r="H61" s="16">
        <v>1.97948506</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14.43681746</v>
      </c>
      <c r="F62" s="16">
        <v>1.68791914</v>
      </c>
      <c r="G62" s="14">
        <v>85.56318254</v>
      </c>
      <c r="H62" s="16">
        <v>1.68791914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28.96533406</v>
      </c>
      <c r="F66" s="16">
        <v>2.1585828600000001</v>
      </c>
      <c r="G66" s="14">
        <v>71.034665939999996</v>
      </c>
      <c r="H66" s="16">
        <v>2.1585828600000001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26.131256</v>
      </c>
      <c r="F67" s="16">
        <v>2.0825003500000001</v>
      </c>
      <c r="G67" s="14">
        <v>73.868744000000007</v>
      </c>
      <c r="H67" s="16">
        <v>2.0825003500000001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24.38854766</v>
      </c>
      <c r="F70" s="16">
        <v>1.9203005900000001</v>
      </c>
      <c r="G70" s="14">
        <v>75.61145234</v>
      </c>
      <c r="H70" s="16">
        <v>1.9203005900000001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13.17135779</v>
      </c>
      <c r="F72" s="16">
        <v>1.3578564799999999</v>
      </c>
      <c r="G72" s="14">
        <v>86.828642209999998</v>
      </c>
      <c r="H72" s="16">
        <v>1.3578564799999999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37.957966880000001</v>
      </c>
      <c r="F73" s="16">
        <v>2.4198394699999999</v>
      </c>
      <c r="G73" s="14">
        <v>62.042033119999999</v>
      </c>
      <c r="H73" s="16">
        <v>2.4198394699999999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53.377507489999999</v>
      </c>
      <c r="F75" s="16">
        <v>2.6703484999999998</v>
      </c>
      <c r="G75" s="14">
        <v>46.622492510000001</v>
      </c>
      <c r="H75" s="16">
        <v>2.6703484999999998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32.26358467</v>
      </c>
      <c r="F76" s="16">
        <v>2.00118675</v>
      </c>
      <c r="G76" s="14">
        <v>67.73641533</v>
      </c>
      <c r="H76" s="16">
        <v>2.00118675</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23.52893907</v>
      </c>
      <c r="F77" s="16">
        <v>1.9478060100000001</v>
      </c>
      <c r="G77" s="14">
        <v>76.471060929999993</v>
      </c>
      <c r="H77" s="16">
        <v>1.9478060100000001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42.372686389999998</v>
      </c>
      <c r="F81" s="16">
        <v>2.4873835799999999</v>
      </c>
      <c r="G81" s="14">
        <v>57.627313610000002</v>
      </c>
      <c r="H81" s="16">
        <v>2.4873835799999999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10.50838446</v>
      </c>
      <c r="F7" s="16">
        <v>0.87586679999999995</v>
      </c>
      <c r="G7" s="14">
        <v>89.491615539999998</v>
      </c>
      <c r="H7" s="16">
        <v>0.87586679999999995</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22.871071050000001</v>
      </c>
      <c r="F8" s="16">
        <v>1.6630877100000001</v>
      </c>
      <c r="G8" s="14">
        <v>77.128928950000002</v>
      </c>
      <c r="H8" s="16">
        <v>1.6630877100000001</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17.434231230000002</v>
      </c>
      <c r="F9" s="16">
        <v>1.3567691399999999</v>
      </c>
      <c r="G9" s="14">
        <v>82.565768770000005</v>
      </c>
      <c r="H9" s="16">
        <v>1.3567691399999999</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8.3757751900000006</v>
      </c>
      <c r="F10" s="16">
        <v>0.94369614999999996</v>
      </c>
      <c r="G10" s="14">
        <v>91.624224810000001</v>
      </c>
      <c r="H10" s="16">
        <v>0.94369614999999996</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32.851703149999999</v>
      </c>
      <c r="F11" s="16">
        <v>2.17099223</v>
      </c>
      <c r="G11" s="14">
        <v>67.148296849999994</v>
      </c>
      <c r="H11" s="16">
        <v>2.17099223</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14.245149339999999</v>
      </c>
      <c r="F12" s="16">
        <v>1.73519157</v>
      </c>
      <c r="G12" s="14">
        <v>85.754850660000002</v>
      </c>
      <c r="H12" s="16">
        <v>1.73519157</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14.493194580000001</v>
      </c>
      <c r="F13" s="16">
        <v>1.5175230900000001</v>
      </c>
      <c r="G13" s="14">
        <v>85.506805420000006</v>
      </c>
      <c r="H13" s="16">
        <v>1.5175230900000001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8.15091331</v>
      </c>
      <c r="F14" s="16">
        <v>1.36591931</v>
      </c>
      <c r="G14" s="14">
        <v>91.849086689999993</v>
      </c>
      <c r="H14" s="16">
        <v>1.36591931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10.51113411</v>
      </c>
      <c r="F15" s="16">
        <v>1.2456988499999999</v>
      </c>
      <c r="G15" s="14">
        <v>89.48886589</v>
      </c>
      <c r="H15" s="16">
        <v>1.2456988499999999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19.237570560000002</v>
      </c>
      <c r="F16" s="16">
        <v>1.88571668</v>
      </c>
      <c r="G16" s="14">
        <v>80.762429440000005</v>
      </c>
      <c r="H16" s="16">
        <v>1.88571668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12.92617991</v>
      </c>
      <c r="F17" s="16">
        <v>1.4464855299999999</v>
      </c>
      <c r="G17" s="14">
        <v>87.073820089999998</v>
      </c>
      <c r="H17" s="16">
        <v>1.4464855299999999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26.093458689999999</v>
      </c>
      <c r="F18" s="16">
        <v>2.5872148500000001</v>
      </c>
      <c r="G18" s="14">
        <v>73.906541309999994</v>
      </c>
      <c r="H18" s="16">
        <v>2.5872148500000001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27.2201819</v>
      </c>
      <c r="F19" s="16">
        <v>2.3418159900000002</v>
      </c>
      <c r="G19" s="14">
        <v>72.7798181</v>
      </c>
      <c r="H19" s="16">
        <v>2.3418159900000002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17.350681560000002</v>
      </c>
      <c r="F20" s="16">
        <v>2.6094130799999999</v>
      </c>
      <c r="G20" s="14">
        <v>82.649318440000002</v>
      </c>
      <c r="H20" s="16">
        <v>2.6094130799999999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28.626745119999999</v>
      </c>
      <c r="F22" s="16">
        <v>2.5027071300000001</v>
      </c>
      <c r="G22" s="14">
        <v>71.373254880000005</v>
      </c>
      <c r="H22" s="16">
        <v>2.5027071300000001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27.746020390000002</v>
      </c>
      <c r="F23" s="16">
        <v>2.0840728500000001</v>
      </c>
      <c r="G23" s="14">
        <v>72.253979610000002</v>
      </c>
      <c r="H23" s="16">
        <v>2.0840728500000001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10.229817990000001</v>
      </c>
      <c r="F24" s="16">
        <v>1.2634161100000001</v>
      </c>
      <c r="G24" s="14">
        <v>89.770182009999999</v>
      </c>
      <c r="H24" s="16">
        <v>1.2634161100000001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8.8976909200000005</v>
      </c>
      <c r="F25" s="16">
        <v>1.48808542</v>
      </c>
      <c r="G25" s="14">
        <v>91.102309079999998</v>
      </c>
      <c r="H25" s="16">
        <v>1.48808542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16.39311725</v>
      </c>
      <c r="F26" s="16">
        <v>1.9354085599999999</v>
      </c>
      <c r="G26" s="14">
        <v>83.606882749999997</v>
      </c>
      <c r="H26" s="16">
        <v>1.9354085599999999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22.93064974</v>
      </c>
      <c r="F27" s="16">
        <v>1.77982296</v>
      </c>
      <c r="G27" s="14">
        <v>77.069350259999993</v>
      </c>
      <c r="H27" s="16">
        <v>1.77982296</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34.045324319999999</v>
      </c>
      <c r="F28" s="16">
        <v>1.9697229999999999</v>
      </c>
      <c r="G28" s="14">
        <v>65.954675679999994</v>
      </c>
      <c r="H28" s="16">
        <v>1.9697229999999999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15.68689914</v>
      </c>
      <c r="F29" s="16">
        <v>1.7256319099999999</v>
      </c>
      <c r="G29" s="14">
        <v>84.313100860000006</v>
      </c>
      <c r="H29" s="16">
        <v>1.7256319099999999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11.514906590000001</v>
      </c>
      <c r="F30" s="16">
        <v>1.44442198</v>
      </c>
      <c r="G30" s="14">
        <v>88.485093410000005</v>
      </c>
      <c r="H30" s="16">
        <v>1.44442198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20.67289615</v>
      </c>
      <c r="F31" s="16">
        <v>1.6295911000000001</v>
      </c>
      <c r="G31" s="14">
        <v>79.32710385</v>
      </c>
      <c r="H31" s="16">
        <v>1.6295911000000001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19.553351379999999</v>
      </c>
      <c r="F33" s="16">
        <v>1.83758949</v>
      </c>
      <c r="G33" s="14">
        <v>80.446648620000005</v>
      </c>
      <c r="H33" s="16">
        <v>1.83758949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23.524873459999998</v>
      </c>
      <c r="F34" s="16">
        <v>2.1336326400000001</v>
      </c>
      <c r="G34" s="14">
        <v>76.475126540000005</v>
      </c>
      <c r="H34" s="16">
        <v>2.1336326400000001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21.816068390000002</v>
      </c>
      <c r="F35" s="16">
        <v>1.9824728700000001</v>
      </c>
      <c r="G35" s="14">
        <v>78.183931610000002</v>
      </c>
      <c r="H35" s="16">
        <v>1.9824728700000001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21.598868039999999</v>
      </c>
      <c r="F36" s="16">
        <v>1.6047870399999999</v>
      </c>
      <c r="G36" s="14">
        <v>78.401131960000001</v>
      </c>
      <c r="H36" s="16">
        <v>1.6047870399999999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14.601000089999999</v>
      </c>
      <c r="F37" s="16">
        <v>1.88067834</v>
      </c>
      <c r="G37" s="14">
        <v>85.398999910000001</v>
      </c>
      <c r="H37" s="16">
        <v>1.88067834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41.095541400000002</v>
      </c>
      <c r="F39" s="16">
        <v>2.74293991</v>
      </c>
      <c r="G39" s="14">
        <v>58.904458599999998</v>
      </c>
      <c r="H39" s="16">
        <v>2.74293991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15.21143606</v>
      </c>
      <c r="F40" s="16">
        <v>1.5566239799999999</v>
      </c>
      <c r="G40" s="14">
        <v>84.788563940000003</v>
      </c>
      <c r="H40" s="16">
        <v>1.5566239799999999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9.8802220999999992</v>
      </c>
      <c r="F41" s="16">
        <v>1.34619332</v>
      </c>
      <c r="G41" s="14">
        <v>90.119777900000003</v>
      </c>
      <c r="H41" s="16">
        <v>1.34619332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18.946720549062494</v>
      </c>
      <c r="F42" s="16">
        <f>IF(COUNT(F7:F41) &gt; 0, SQRT(SUMSQ(F7:F41)/(COUNT(F7:F41)*COUNT(F7:F41)) ), "—")</f>
        <v>0.32326038627408699</v>
      </c>
      <c r="G42" s="14">
        <f>IF(COUNT(G7:G41) &gt; 0, AVERAGE(G7:G41), "—")</f>
        <v>81.053279450937495</v>
      </c>
      <c r="H42" s="16">
        <f>IF(COUNT(H7:H41) &gt; 0, SQRT(SUMSQ(H7:H41)/(COUNT(H7:H41)*COUNT(H7:H41)) ), "—")</f>
        <v>0.32326038627408699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37.55086919</v>
      </c>
      <c r="F46" s="16">
        <v>1.4977240000000001</v>
      </c>
      <c r="G46" s="14">
        <v>62.44913081</v>
      </c>
      <c r="H46" s="16">
        <v>1.4977240000000001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28.60303008</v>
      </c>
      <c r="F47" s="16">
        <v>2.3075493200000001</v>
      </c>
      <c r="G47" s="14">
        <v>71.396969920000004</v>
      </c>
      <c r="H47" s="16">
        <v>2.3075493200000001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20.916115300000001</v>
      </c>
      <c r="F48" s="16">
        <v>1.84099568</v>
      </c>
      <c r="G48" s="14">
        <v>79.083884699999999</v>
      </c>
      <c r="H48" s="16">
        <v>1.84099568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40.016957599999998</v>
      </c>
      <c r="F50" s="16">
        <v>2.2353261600000001</v>
      </c>
      <c r="G50" s="14">
        <v>59.983042400000002</v>
      </c>
      <c r="H50" s="16">
        <v>2.2353261600000001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35.25154062</v>
      </c>
      <c r="F51" s="16">
        <v>2.1792690000000001</v>
      </c>
      <c r="G51" s="14">
        <v>64.74845938</v>
      </c>
      <c r="H51" s="16">
        <v>2.1792690000000001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25.457759200000002</v>
      </c>
      <c r="F52" s="16">
        <v>2.1468110399999998</v>
      </c>
      <c r="G52" s="14">
        <v>74.542240800000002</v>
      </c>
      <c r="H52" s="16">
        <v>2.1468110399999998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35.363194409999998</v>
      </c>
      <c r="F53" s="16">
        <v>2.4516861400000001</v>
      </c>
      <c r="G53" s="14">
        <v>64.636805589999994</v>
      </c>
      <c r="H53" s="16">
        <v>2.4516861400000001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10.014078120000001</v>
      </c>
      <c r="F56" s="16">
        <v>1.7399396499999999</v>
      </c>
      <c r="G56" s="14">
        <v>89.985921880000006</v>
      </c>
      <c r="H56" s="16">
        <v>1.7399396499999999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19.49140508</v>
      </c>
      <c r="F61" s="16">
        <v>1.6017803100000001</v>
      </c>
      <c r="G61" s="14">
        <v>80.508594919999993</v>
      </c>
      <c r="H61" s="16">
        <v>1.6017803100000001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12.44935332</v>
      </c>
      <c r="F62" s="16">
        <v>1.70309401</v>
      </c>
      <c r="G62" s="14">
        <v>87.55064668</v>
      </c>
      <c r="H62" s="16">
        <v>1.70309401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41.545416340000003</v>
      </c>
      <c r="F66" s="16">
        <v>2.43084765</v>
      </c>
      <c r="G66" s="14">
        <v>58.454583659999997</v>
      </c>
      <c r="H66" s="16">
        <v>2.43084765</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41.702731159999999</v>
      </c>
      <c r="F67" s="16">
        <v>2.29147671</v>
      </c>
      <c r="G67" s="14">
        <v>58.297268840000001</v>
      </c>
      <c r="H67" s="16">
        <v>2.29147671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20.49954679</v>
      </c>
      <c r="F70" s="16">
        <v>1.7577043299999999</v>
      </c>
      <c r="G70" s="14">
        <v>79.500453210000003</v>
      </c>
      <c r="H70" s="16">
        <v>1.7577043299999999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12.87009823</v>
      </c>
      <c r="F72" s="16">
        <v>1.4699514899999999</v>
      </c>
      <c r="G72" s="14">
        <v>87.129901770000004</v>
      </c>
      <c r="H72" s="16">
        <v>1.4699514899999999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38.066600919999999</v>
      </c>
      <c r="F73" s="16">
        <v>2.2266642600000002</v>
      </c>
      <c r="G73" s="14">
        <v>61.933399080000001</v>
      </c>
      <c r="H73" s="16">
        <v>2.2266642600000002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46.51824689</v>
      </c>
      <c r="F75" s="16">
        <v>2.6037029999999999</v>
      </c>
      <c r="G75" s="14">
        <v>53.48175311</v>
      </c>
      <c r="H75" s="16">
        <v>2.6037029999999999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28.513373049999998</v>
      </c>
      <c r="F76" s="16">
        <v>1.4686485199999999</v>
      </c>
      <c r="G76" s="14">
        <v>71.486626950000002</v>
      </c>
      <c r="H76" s="16">
        <v>1.4686485199999999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35.626609510000002</v>
      </c>
      <c r="F77" s="16">
        <v>2.0188554700000001</v>
      </c>
      <c r="G77" s="14">
        <v>64.373390490000006</v>
      </c>
      <c r="H77" s="16">
        <v>2.0188554700000001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43.860510169999998</v>
      </c>
      <c r="F81" s="16">
        <v>2.0156977299999999</v>
      </c>
      <c r="G81" s="14">
        <v>56.139489830000002</v>
      </c>
      <c r="H81" s="16">
        <v>2.0156977299999999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34.82066296</v>
      </c>
      <c r="F7" s="16">
        <v>1.52395386</v>
      </c>
      <c r="G7" s="14">
        <v>65.179337039999993</v>
      </c>
      <c r="H7" s="16">
        <v>1.52395386</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42.290907099999998</v>
      </c>
      <c r="F8" s="16">
        <v>2.0431294499999999</v>
      </c>
      <c r="G8" s="14">
        <v>57.709092900000002</v>
      </c>
      <c r="H8" s="16">
        <v>2.0431294499999999</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40.322489009999998</v>
      </c>
      <c r="F9" s="16">
        <v>1.78499265</v>
      </c>
      <c r="G9" s="14">
        <v>59.677510990000002</v>
      </c>
      <c r="H9" s="16">
        <v>1.78499265</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32.234503060000002</v>
      </c>
      <c r="F10" s="16">
        <v>1.4626941099999999</v>
      </c>
      <c r="G10" s="14">
        <v>67.765496940000006</v>
      </c>
      <c r="H10" s="16">
        <v>1.4626941099999999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47.732094320000002</v>
      </c>
      <c r="F11" s="16">
        <v>2.3541022100000002</v>
      </c>
      <c r="G11" s="14">
        <v>52.267905679999998</v>
      </c>
      <c r="H11" s="16">
        <v>2.3541022100000002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47.903148270000003</v>
      </c>
      <c r="F12" s="16">
        <v>2.6438380100000001</v>
      </c>
      <c r="G12" s="14">
        <v>52.096851729999997</v>
      </c>
      <c r="H12" s="16">
        <v>2.6438380100000001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41.936043929999997</v>
      </c>
      <c r="F13" s="16">
        <v>2.28764273</v>
      </c>
      <c r="G13" s="14">
        <v>58.063956070000003</v>
      </c>
      <c r="H13" s="16">
        <v>2.28764273</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32.677857160000002</v>
      </c>
      <c r="F14" s="16">
        <v>1.7653556100000001</v>
      </c>
      <c r="G14" s="14">
        <v>67.322142839999998</v>
      </c>
      <c r="H14" s="16">
        <v>1.7653556100000001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35.143741380000002</v>
      </c>
      <c r="F15" s="16">
        <v>2.45595265</v>
      </c>
      <c r="G15" s="14">
        <v>64.856258620000006</v>
      </c>
      <c r="H15" s="16">
        <v>2.45595265</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46.26452183</v>
      </c>
      <c r="F16" s="16">
        <v>2.2583104700000001</v>
      </c>
      <c r="G16" s="14">
        <v>53.73547817</v>
      </c>
      <c r="H16" s="16">
        <v>2.2583104700000001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30.49261615</v>
      </c>
      <c r="F17" s="16">
        <v>1.7687554999999999</v>
      </c>
      <c r="G17" s="14">
        <v>69.507383849999997</v>
      </c>
      <c r="H17" s="16">
        <v>1.7687554999999999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57.427748489999999</v>
      </c>
      <c r="F18" s="16">
        <v>2.6172996300000002</v>
      </c>
      <c r="G18" s="14">
        <v>42.572251510000001</v>
      </c>
      <c r="H18" s="16">
        <v>2.6172996300000002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46.048888069999997</v>
      </c>
      <c r="F19" s="16">
        <v>2.85634027</v>
      </c>
      <c r="G19" s="14">
        <v>53.951111930000003</v>
      </c>
      <c r="H19" s="16">
        <v>2.85634027</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46.613953879999997</v>
      </c>
      <c r="F20" s="16">
        <v>2.7759303200000001</v>
      </c>
      <c r="G20" s="14">
        <v>53.386046120000003</v>
      </c>
      <c r="H20" s="16">
        <v>2.7759303200000001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57.825254110000003</v>
      </c>
      <c r="F22" s="16">
        <v>2.3084376</v>
      </c>
      <c r="G22" s="14">
        <v>42.174745889999997</v>
      </c>
      <c r="H22" s="16">
        <v>2.3084376</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46.974653949999997</v>
      </c>
      <c r="F23" s="16">
        <v>2.8083406100000001</v>
      </c>
      <c r="G23" s="14">
        <v>53.025346050000003</v>
      </c>
      <c r="H23" s="16">
        <v>2.8083406100000001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26.390446239999999</v>
      </c>
      <c r="F24" s="16">
        <v>1.8382860000000001</v>
      </c>
      <c r="G24" s="14">
        <v>73.609553759999997</v>
      </c>
      <c r="H24" s="16">
        <v>1.8382860000000001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18.853581460000001</v>
      </c>
      <c r="F25" s="16">
        <v>1.4593618699999999</v>
      </c>
      <c r="G25" s="14">
        <v>81.146418539999999</v>
      </c>
      <c r="H25" s="16">
        <v>1.4593618699999999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48.220033600000001</v>
      </c>
      <c r="F26" s="16">
        <v>2.4933718499999999</v>
      </c>
      <c r="G26" s="14">
        <v>51.779966399999999</v>
      </c>
      <c r="H26" s="16">
        <v>2.4933718499999999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43.692550140000002</v>
      </c>
      <c r="F27" s="16">
        <v>2.3370077</v>
      </c>
      <c r="G27" s="14">
        <v>56.307449859999998</v>
      </c>
      <c r="H27" s="16">
        <v>2.3370077</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61.832721130000003</v>
      </c>
      <c r="F28" s="16">
        <v>2.0046707600000002</v>
      </c>
      <c r="G28" s="14">
        <v>38.167278869999997</v>
      </c>
      <c r="H28" s="16">
        <v>2.0046707600000002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41.704534440000003</v>
      </c>
      <c r="F29" s="16">
        <v>2.3263954500000001</v>
      </c>
      <c r="G29" s="14">
        <v>58.295465559999997</v>
      </c>
      <c r="H29" s="16">
        <v>2.3263954500000001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34.08259451</v>
      </c>
      <c r="F30" s="16">
        <v>2.42151308</v>
      </c>
      <c r="G30" s="14">
        <v>65.917405489999993</v>
      </c>
      <c r="H30" s="16">
        <v>2.42151308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41.335680359999998</v>
      </c>
      <c r="F31" s="16">
        <v>2.3525169300000002</v>
      </c>
      <c r="G31" s="14">
        <v>58.664319640000002</v>
      </c>
      <c r="H31" s="16">
        <v>2.3525169300000002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38.64242205</v>
      </c>
      <c r="F33" s="16">
        <v>1.9934729099999999</v>
      </c>
      <c r="G33" s="14">
        <v>61.35757795</v>
      </c>
      <c r="H33" s="16">
        <v>1.9934729099999999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53.606122890000002</v>
      </c>
      <c r="F34" s="16">
        <v>2.27157543</v>
      </c>
      <c r="G34" s="14">
        <v>46.393877109999998</v>
      </c>
      <c r="H34" s="16">
        <v>2.27157543</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43.562978209999997</v>
      </c>
      <c r="F35" s="16">
        <v>2.7689522100000001</v>
      </c>
      <c r="G35" s="14">
        <v>56.437021790000003</v>
      </c>
      <c r="H35" s="16">
        <v>2.7689522100000001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39.447594350000003</v>
      </c>
      <c r="F36" s="16">
        <v>2.11677282</v>
      </c>
      <c r="G36" s="14">
        <v>60.552405649999997</v>
      </c>
      <c r="H36" s="16">
        <v>2.11677282</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42.3243334</v>
      </c>
      <c r="F37" s="16">
        <v>2.2742567400000002</v>
      </c>
      <c r="G37" s="14">
        <v>57.6756666</v>
      </c>
      <c r="H37" s="16">
        <v>2.2742567400000002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63.152877949999997</v>
      </c>
      <c r="F39" s="16">
        <v>2.7304009800000002</v>
      </c>
      <c r="G39" s="14">
        <v>36.847122050000003</v>
      </c>
      <c r="H39" s="16">
        <v>2.7304009800000002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39.862706160000002</v>
      </c>
      <c r="F40" s="16">
        <v>2.0608546699999999</v>
      </c>
      <c r="G40" s="14">
        <v>60.137293839999998</v>
      </c>
      <c r="H40" s="16">
        <v>2.0608546699999999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37.103629189999999</v>
      </c>
      <c r="F41" s="16">
        <v>2.3599740800000002</v>
      </c>
      <c r="G41" s="14">
        <v>62.896370810000001</v>
      </c>
      <c r="H41" s="16">
        <v>2.3599740800000002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42.516371554687495</v>
      </c>
      <c r="F42" s="16">
        <f>IF(COUNT(F7:F41) &gt; 0, SQRT(SUMSQ(F7:F41)/(COUNT(F7:F41)*COUNT(F7:F41)) ), "—")</f>
        <v>0.40097132286853432</v>
      </c>
      <c r="G42" s="14">
        <f>IF(COUNT(G7:G41) &gt; 0, AVERAGE(G7:G41), "—")</f>
        <v>57.48362844531249</v>
      </c>
      <c r="H42" s="16">
        <f>IF(COUNT(H7:H41) &gt; 0, SQRT(SUMSQ(H7:H41)/(COUNT(H7:H41)*COUNT(H7:H41)) ), "—")</f>
        <v>0.40097132286853432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59.875988229999997</v>
      </c>
      <c r="F46" s="16">
        <v>1.63680717</v>
      </c>
      <c r="G46" s="14">
        <v>40.124011770000003</v>
      </c>
      <c r="H46" s="16">
        <v>1.63680717</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58.18934677</v>
      </c>
      <c r="F47" s="16">
        <v>2.4513636499999998</v>
      </c>
      <c r="G47" s="14">
        <v>41.81065323</v>
      </c>
      <c r="H47" s="16">
        <v>2.4513636499999998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40.120627489999997</v>
      </c>
      <c r="F48" s="16">
        <v>2.3256685699999999</v>
      </c>
      <c r="G48" s="14">
        <v>59.879372510000003</v>
      </c>
      <c r="H48" s="16">
        <v>2.3256685699999999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60.426573640000001</v>
      </c>
      <c r="F50" s="16">
        <v>2.3969370400000001</v>
      </c>
      <c r="G50" s="14">
        <v>39.573426359999999</v>
      </c>
      <c r="H50" s="16">
        <v>2.3969370400000001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50.939432979999999</v>
      </c>
      <c r="F51" s="16">
        <v>2.3105024900000002</v>
      </c>
      <c r="G51" s="14">
        <v>49.060567020000001</v>
      </c>
      <c r="H51" s="16">
        <v>2.3105024900000002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51.893780069999998</v>
      </c>
      <c r="F52" s="16">
        <v>2.62237857</v>
      </c>
      <c r="G52" s="14">
        <v>48.106219930000002</v>
      </c>
      <c r="H52" s="16">
        <v>2.62237857</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56.658452670000003</v>
      </c>
      <c r="F53" s="16">
        <v>2.0190306900000001</v>
      </c>
      <c r="G53" s="14">
        <v>43.341547329999997</v>
      </c>
      <c r="H53" s="16">
        <v>2.0190306900000001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32.219149250000001</v>
      </c>
      <c r="F56" s="16">
        <v>2.67823213</v>
      </c>
      <c r="G56" s="14">
        <v>67.780850749999999</v>
      </c>
      <c r="H56" s="16">
        <v>2.67823213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48.77075</v>
      </c>
      <c r="F61" s="16">
        <v>2.3771327699999998</v>
      </c>
      <c r="G61" s="14">
        <v>51.22925</v>
      </c>
      <c r="H61" s="16">
        <v>2.3771327699999998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26.75623482</v>
      </c>
      <c r="F62" s="16">
        <v>2.0681511600000002</v>
      </c>
      <c r="G62" s="14">
        <v>73.243765179999997</v>
      </c>
      <c r="H62" s="16">
        <v>2.0681511600000002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63.467986260000004</v>
      </c>
      <c r="F66" s="16">
        <v>2.3367655799999998</v>
      </c>
      <c r="G66" s="14">
        <v>36.532013739999996</v>
      </c>
      <c r="H66" s="16">
        <v>2.3367655799999998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59.167704790000002</v>
      </c>
      <c r="F67" s="16">
        <v>2.7694310299999998</v>
      </c>
      <c r="G67" s="14">
        <v>40.832295209999998</v>
      </c>
      <c r="H67" s="16">
        <v>2.7694310299999998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53.492251099999997</v>
      </c>
      <c r="F70" s="16">
        <v>2.5216640899999998</v>
      </c>
      <c r="G70" s="14">
        <v>46.507748900000003</v>
      </c>
      <c r="H70" s="16">
        <v>2.5216640899999998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28.611512130000001</v>
      </c>
      <c r="F72" s="16">
        <v>1.7611464100000001</v>
      </c>
      <c r="G72" s="14">
        <v>71.388487870000006</v>
      </c>
      <c r="H72" s="16">
        <v>1.7611464100000001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59.161762289999999</v>
      </c>
      <c r="F73" s="16">
        <v>2.1681263500000001</v>
      </c>
      <c r="G73" s="14">
        <v>40.838237710000001</v>
      </c>
      <c r="H73" s="16">
        <v>2.1681263500000001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82.311836040000003</v>
      </c>
      <c r="F75" s="16">
        <v>1.90998187</v>
      </c>
      <c r="G75" s="14">
        <v>17.688163960000001</v>
      </c>
      <c r="H75" s="16">
        <v>1.90998187</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53.164964529999999</v>
      </c>
      <c r="F76" s="16">
        <v>1.9073341399999999</v>
      </c>
      <c r="G76" s="14">
        <v>46.835035470000001</v>
      </c>
      <c r="H76" s="16">
        <v>1.9073341399999999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50.541007430000001</v>
      </c>
      <c r="F77" s="16">
        <v>2.1128636599999999</v>
      </c>
      <c r="G77" s="14">
        <v>49.458992569999999</v>
      </c>
      <c r="H77" s="16">
        <v>2.1128636599999999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57.352353270000002</v>
      </c>
      <c r="F81" s="16">
        <v>2.1374392100000001</v>
      </c>
      <c r="G81" s="14">
        <v>42.647646729999998</v>
      </c>
      <c r="H81" s="16">
        <v>2.1374392100000001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33.977442199999999</v>
      </c>
      <c r="F7" s="16">
        <v>1.5721316599999999</v>
      </c>
      <c r="G7" s="14">
        <v>66.022557800000001</v>
      </c>
      <c r="H7" s="16">
        <v>1.5721316599999999</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29.386796520000001</v>
      </c>
      <c r="F8" s="16">
        <v>2.2000720299999998</v>
      </c>
      <c r="G8" s="14">
        <v>70.613203479999996</v>
      </c>
      <c r="H8" s="16">
        <v>2.2000720299999998</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28.401938869999999</v>
      </c>
      <c r="F9" s="16">
        <v>1.69288127</v>
      </c>
      <c r="G9" s="14">
        <v>71.598061130000005</v>
      </c>
      <c r="H9" s="16">
        <v>1.69288127</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27.901320649999999</v>
      </c>
      <c r="F10" s="16">
        <v>1.48819737</v>
      </c>
      <c r="G10" s="14">
        <v>72.098679349999998</v>
      </c>
      <c r="H10" s="16">
        <v>1.48819737</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37.505232300000003</v>
      </c>
      <c r="F11" s="16">
        <v>2.4173028900000002</v>
      </c>
      <c r="G11" s="14">
        <v>62.494767699999997</v>
      </c>
      <c r="H11" s="16">
        <v>2.4173028900000002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30.373219450000001</v>
      </c>
      <c r="F12" s="16">
        <v>2.14950055</v>
      </c>
      <c r="G12" s="14">
        <v>69.626780550000007</v>
      </c>
      <c r="H12" s="16">
        <v>2.14950055</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39.963825540000002</v>
      </c>
      <c r="F13" s="16">
        <v>2.3648347300000001</v>
      </c>
      <c r="G13" s="14">
        <v>60.036174459999998</v>
      </c>
      <c r="H13" s="16">
        <v>2.3648347300000001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16.998162829999998</v>
      </c>
      <c r="F14" s="16">
        <v>1.9053246500000001</v>
      </c>
      <c r="G14" s="14">
        <v>83.001837170000002</v>
      </c>
      <c r="H14" s="16">
        <v>1.9053246500000001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22.10715162</v>
      </c>
      <c r="F15" s="16">
        <v>1.8452125399999999</v>
      </c>
      <c r="G15" s="14">
        <v>77.892848380000004</v>
      </c>
      <c r="H15" s="16">
        <v>1.8452125399999999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31.304213260000001</v>
      </c>
      <c r="F16" s="16">
        <v>1.8795978600000001</v>
      </c>
      <c r="G16" s="14">
        <v>68.695786740000003</v>
      </c>
      <c r="H16" s="16">
        <v>1.8795978600000001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24.354638040000001</v>
      </c>
      <c r="F17" s="16">
        <v>1.7514463499999999</v>
      </c>
      <c r="G17" s="14">
        <v>75.645361960000002</v>
      </c>
      <c r="H17" s="16">
        <v>1.7514463499999999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36.175828240000001</v>
      </c>
      <c r="F18" s="16">
        <v>2.6593883100000002</v>
      </c>
      <c r="G18" s="14">
        <v>63.824171759999999</v>
      </c>
      <c r="H18" s="16">
        <v>2.6593883100000002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37.40617305</v>
      </c>
      <c r="F19" s="16">
        <v>2.3535880800000002</v>
      </c>
      <c r="G19" s="14">
        <v>62.59382695</v>
      </c>
      <c r="H19" s="16">
        <v>2.3535880800000002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29.365798179999999</v>
      </c>
      <c r="F20" s="16">
        <v>2.7778012099999998</v>
      </c>
      <c r="G20" s="14">
        <v>70.634201820000001</v>
      </c>
      <c r="H20" s="16">
        <v>2.7778012099999998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37.599352279999998</v>
      </c>
      <c r="F22" s="16">
        <v>2.2514899900000001</v>
      </c>
      <c r="G22" s="14">
        <v>62.400647720000002</v>
      </c>
      <c r="H22" s="16">
        <v>2.2514899900000001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38.43584311</v>
      </c>
      <c r="F23" s="16">
        <v>2.6879191800000002</v>
      </c>
      <c r="G23" s="14">
        <v>61.56415689</v>
      </c>
      <c r="H23" s="16">
        <v>2.6879191800000002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12.318673069999999</v>
      </c>
      <c r="F24" s="16">
        <v>1.2169542</v>
      </c>
      <c r="G24" s="14">
        <v>87.681326929999997</v>
      </c>
      <c r="H24" s="16">
        <v>1.2169542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16.24459354</v>
      </c>
      <c r="F25" s="16">
        <v>1.61625547</v>
      </c>
      <c r="G25" s="14">
        <v>83.755406460000003</v>
      </c>
      <c r="H25" s="16">
        <v>1.61625547</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29.679510329999999</v>
      </c>
      <c r="F26" s="16">
        <v>2.09630289</v>
      </c>
      <c r="G26" s="14">
        <v>70.320489670000001</v>
      </c>
      <c r="H26" s="16">
        <v>2.09630289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32.144573530000002</v>
      </c>
      <c r="F27" s="16">
        <v>1.9661128699999999</v>
      </c>
      <c r="G27" s="14">
        <v>67.855426469999998</v>
      </c>
      <c r="H27" s="16">
        <v>1.9661128699999999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35.6356191</v>
      </c>
      <c r="F28" s="16">
        <v>2.0524272699999999</v>
      </c>
      <c r="G28" s="14">
        <v>64.3643809</v>
      </c>
      <c r="H28" s="16">
        <v>2.0524272699999999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29.41774242</v>
      </c>
      <c r="F29" s="16">
        <v>2.0581326299999998</v>
      </c>
      <c r="G29" s="14">
        <v>70.582257580000004</v>
      </c>
      <c r="H29" s="16">
        <v>2.0581326299999998</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26.71873575</v>
      </c>
      <c r="F30" s="16">
        <v>2.1871455700000002</v>
      </c>
      <c r="G30" s="14">
        <v>73.281264250000007</v>
      </c>
      <c r="H30" s="16">
        <v>2.1871455700000002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28.70409883</v>
      </c>
      <c r="F31" s="16">
        <v>2.3076464900000002</v>
      </c>
      <c r="G31" s="14">
        <v>71.295901169999993</v>
      </c>
      <c r="H31" s="16">
        <v>2.3076464900000002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28.680083580000002</v>
      </c>
      <c r="F33" s="16">
        <v>2.2614955800000001</v>
      </c>
      <c r="G33" s="14">
        <v>71.319916419999998</v>
      </c>
      <c r="H33" s="16">
        <v>2.2614955800000001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36.858524289999998</v>
      </c>
      <c r="F34" s="16">
        <v>2.5268090600000002</v>
      </c>
      <c r="G34" s="14">
        <v>63.141475710000002</v>
      </c>
      <c r="H34" s="16">
        <v>2.5268090600000002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27.721295040000001</v>
      </c>
      <c r="F35" s="16">
        <v>2.3328165799999998</v>
      </c>
      <c r="G35" s="14">
        <v>72.278704959999999</v>
      </c>
      <c r="H35" s="16">
        <v>2.3328165799999998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27.631464609999998</v>
      </c>
      <c r="F36" s="16">
        <v>2.0539334600000001</v>
      </c>
      <c r="G36" s="14">
        <v>72.368535390000005</v>
      </c>
      <c r="H36" s="16">
        <v>2.0539334600000001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29.924475520000001</v>
      </c>
      <c r="F37" s="16">
        <v>2.3556374299999998</v>
      </c>
      <c r="G37" s="14">
        <v>70.075524479999999</v>
      </c>
      <c r="H37" s="16">
        <v>2.3556374299999998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43.869404590000002</v>
      </c>
      <c r="F39" s="16">
        <v>2.6747714399999998</v>
      </c>
      <c r="G39" s="14">
        <v>56.130595409999998</v>
      </c>
      <c r="H39" s="16">
        <v>2.6747714399999998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32.353299759999999</v>
      </c>
      <c r="F40" s="16">
        <v>2.1850235800000002</v>
      </c>
      <c r="G40" s="14">
        <v>67.646700240000001</v>
      </c>
      <c r="H40" s="16">
        <v>2.1850235800000002</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26.263226490000001</v>
      </c>
      <c r="F41" s="16">
        <v>2.1991557799999999</v>
      </c>
      <c r="G41" s="14">
        <v>73.736773510000006</v>
      </c>
      <c r="H41" s="16">
        <v>2.1991557799999999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30.169445518437495</v>
      </c>
      <c r="F42" s="16">
        <f>IF(COUNT(F7:F41) &gt; 0, SQRT(SUMSQ(F7:F41)/(COUNT(F7:F41)*COUNT(F7:F41)) ), "—")</f>
        <v>0.38157079537138827</v>
      </c>
      <c r="G42" s="14">
        <f>IF(COUNT(G7:G41) &gt; 0, AVERAGE(G7:G41), "—")</f>
        <v>69.830554481562501</v>
      </c>
      <c r="H42" s="16">
        <f>IF(COUNT(H7:H41) &gt; 0, SQRT(SUMSQ(H7:H41)/(COUNT(H7:H41)*COUNT(H7:H41)) ), "—")</f>
        <v>0.38157079537138827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42.927096489999997</v>
      </c>
      <c r="F46" s="16">
        <v>1.8175701399999999</v>
      </c>
      <c r="G46" s="14">
        <v>57.072903510000003</v>
      </c>
      <c r="H46" s="16">
        <v>1.8175701399999999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40.55086189</v>
      </c>
      <c r="F47" s="16">
        <v>2.37899978</v>
      </c>
      <c r="G47" s="14">
        <v>59.44913811</v>
      </c>
      <c r="H47" s="16">
        <v>2.37899978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15.579290800000001</v>
      </c>
      <c r="F48" s="16">
        <v>1.7158880599999999</v>
      </c>
      <c r="G48" s="14">
        <v>84.420709200000005</v>
      </c>
      <c r="H48" s="16">
        <v>1.7158880599999999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40.34038992</v>
      </c>
      <c r="F50" s="16">
        <v>2.1905366800000001</v>
      </c>
      <c r="G50" s="14">
        <v>59.65961008</v>
      </c>
      <c r="H50" s="16">
        <v>2.1905366800000001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40.520573560000003</v>
      </c>
      <c r="F51" s="16">
        <v>2.4007052099999999</v>
      </c>
      <c r="G51" s="14">
        <v>59.479426439999997</v>
      </c>
      <c r="H51" s="16">
        <v>2.4007052099999999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35.03463026</v>
      </c>
      <c r="F52" s="16">
        <v>2.1140931100000002</v>
      </c>
      <c r="G52" s="14">
        <v>64.96536974</v>
      </c>
      <c r="H52" s="16">
        <v>2.1140931100000002</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42.060003620000003</v>
      </c>
      <c r="F53" s="16">
        <v>2.4683353100000001</v>
      </c>
      <c r="G53" s="14">
        <v>57.939996379999997</v>
      </c>
      <c r="H53" s="16">
        <v>2.4683353100000001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9.1585718600000003</v>
      </c>
      <c r="F56" s="16">
        <v>1.5444048800000001</v>
      </c>
      <c r="G56" s="14">
        <v>90.841428140000005</v>
      </c>
      <c r="H56" s="16">
        <v>1.5444048800000001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39.037986539999999</v>
      </c>
      <c r="F61" s="16">
        <v>2.2604369000000002</v>
      </c>
      <c r="G61" s="14">
        <v>60.962013460000001</v>
      </c>
      <c r="H61" s="16">
        <v>2.2604369000000002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12.16628257</v>
      </c>
      <c r="F62" s="16">
        <v>1.7023934199999999</v>
      </c>
      <c r="G62" s="14">
        <v>87.833717429999993</v>
      </c>
      <c r="H62" s="16">
        <v>1.7023934199999999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44.82840934</v>
      </c>
      <c r="F66" s="16">
        <v>2.3145310299999999</v>
      </c>
      <c r="G66" s="14">
        <v>55.17159066</v>
      </c>
      <c r="H66" s="16">
        <v>2.3145310299999999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36.947059950000003</v>
      </c>
      <c r="F67" s="16">
        <v>2.5389790799999998</v>
      </c>
      <c r="G67" s="14">
        <v>63.052940049999997</v>
      </c>
      <c r="H67" s="16">
        <v>2.5389790799999998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32.573880369999998</v>
      </c>
      <c r="F70" s="16">
        <v>2.2501665100000001</v>
      </c>
      <c r="G70" s="14">
        <v>67.426119630000002</v>
      </c>
      <c r="H70" s="16">
        <v>2.2501665100000001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9.4998405500000001</v>
      </c>
      <c r="F72" s="16">
        <v>1.05139205</v>
      </c>
      <c r="G72" s="14">
        <v>90.500159449999998</v>
      </c>
      <c r="H72" s="16">
        <v>1.05139205</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32.239186570000001</v>
      </c>
      <c r="F73" s="16">
        <v>2.5931825700000002</v>
      </c>
      <c r="G73" s="14">
        <v>67.760813429999999</v>
      </c>
      <c r="H73" s="16">
        <v>2.5931825700000002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49.331661160000003</v>
      </c>
      <c r="F75" s="16">
        <v>2.5258304599999999</v>
      </c>
      <c r="G75" s="14">
        <v>50.668338839999997</v>
      </c>
      <c r="H75" s="16">
        <v>2.5258304599999999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42.999884440000002</v>
      </c>
      <c r="F76" s="16">
        <v>1.9072145</v>
      </c>
      <c r="G76" s="14">
        <v>57.000115559999998</v>
      </c>
      <c r="H76" s="16">
        <v>1.9072145</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44.538092040000002</v>
      </c>
      <c r="F77" s="16">
        <v>2.37772637</v>
      </c>
      <c r="G77" s="14">
        <v>55.461907959999998</v>
      </c>
      <c r="H77" s="16">
        <v>2.37772637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30.076167430000002</v>
      </c>
      <c r="F81" s="16">
        <v>2.00116088</v>
      </c>
      <c r="G81" s="14">
        <v>69.923832570000002</v>
      </c>
      <c r="H81" s="16">
        <v>2.00116088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32.70650809</v>
      </c>
      <c r="F7" s="16">
        <v>1.5563900399999999</v>
      </c>
      <c r="G7" s="14">
        <v>67.29349191</v>
      </c>
      <c r="H7" s="16">
        <v>1.5563900399999999</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31.774833820000001</v>
      </c>
      <c r="F8" s="16">
        <v>2.4173520900000001</v>
      </c>
      <c r="G8" s="14">
        <v>68.225166180000002</v>
      </c>
      <c r="H8" s="16">
        <v>2.4173520900000001</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29.813762650000001</v>
      </c>
      <c r="F9" s="16">
        <v>1.6119674799999999</v>
      </c>
      <c r="G9" s="14">
        <v>70.186237349999999</v>
      </c>
      <c r="H9" s="16">
        <v>1.6119674799999999</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31.449314959999999</v>
      </c>
      <c r="F10" s="16">
        <v>1.5515006</v>
      </c>
      <c r="G10" s="14">
        <v>68.550685040000005</v>
      </c>
      <c r="H10" s="16">
        <v>1.5515006</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44.035948650000002</v>
      </c>
      <c r="F11" s="16">
        <v>2.2970697100000002</v>
      </c>
      <c r="G11" s="14">
        <v>55.964051349999998</v>
      </c>
      <c r="H11" s="16">
        <v>2.2970697100000002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33.86968049</v>
      </c>
      <c r="F12" s="16">
        <v>2.3031871599999998</v>
      </c>
      <c r="G12" s="14">
        <v>66.130319510000007</v>
      </c>
      <c r="H12" s="16">
        <v>2.3031871599999998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38.350212839999998</v>
      </c>
      <c r="F13" s="16">
        <v>2.2739861600000002</v>
      </c>
      <c r="G13" s="14">
        <v>61.649787160000002</v>
      </c>
      <c r="H13" s="16">
        <v>2.2739861600000002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26.19713668</v>
      </c>
      <c r="F14" s="16">
        <v>2.6234020199999999</v>
      </c>
      <c r="G14" s="14">
        <v>73.80286332</v>
      </c>
      <c r="H14" s="16">
        <v>2.6234020199999999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32.495436179999999</v>
      </c>
      <c r="F15" s="16">
        <v>2.0627738400000002</v>
      </c>
      <c r="G15" s="14">
        <v>67.504563820000001</v>
      </c>
      <c r="H15" s="16">
        <v>2.0627738400000002</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31.24191896</v>
      </c>
      <c r="F16" s="16">
        <v>2.1196820700000001</v>
      </c>
      <c r="G16" s="14">
        <v>68.758081039999993</v>
      </c>
      <c r="H16" s="16">
        <v>2.1196820700000001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25.400968949999999</v>
      </c>
      <c r="F17" s="16">
        <v>1.8960791800000001</v>
      </c>
      <c r="G17" s="14">
        <v>74.599031049999994</v>
      </c>
      <c r="H17" s="16">
        <v>1.8960791800000001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41.315791259999997</v>
      </c>
      <c r="F18" s="16">
        <v>2.53606854</v>
      </c>
      <c r="G18" s="14">
        <v>58.684208740000003</v>
      </c>
      <c r="H18" s="16">
        <v>2.53606854</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45.663030399999997</v>
      </c>
      <c r="F19" s="16">
        <v>2.33183593</v>
      </c>
      <c r="G19" s="14">
        <v>54.336969600000003</v>
      </c>
      <c r="H19" s="16">
        <v>2.33183593</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30.00040293</v>
      </c>
      <c r="F20" s="16">
        <v>2.5965889799999999</v>
      </c>
      <c r="G20" s="14">
        <v>69.999597069999993</v>
      </c>
      <c r="H20" s="16">
        <v>2.5965889799999999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39.858523599999998</v>
      </c>
      <c r="F22" s="16">
        <v>2.23263371</v>
      </c>
      <c r="G22" s="14">
        <v>60.141476400000002</v>
      </c>
      <c r="H22" s="16">
        <v>2.23263371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40.320120559999999</v>
      </c>
      <c r="F23" s="16">
        <v>2.3512447299999999</v>
      </c>
      <c r="G23" s="14">
        <v>59.679879440000001</v>
      </c>
      <c r="H23" s="16">
        <v>2.3512447299999999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16.157309869999999</v>
      </c>
      <c r="F24" s="16">
        <v>1.52651293</v>
      </c>
      <c r="G24" s="14">
        <v>83.842690129999994</v>
      </c>
      <c r="H24" s="16">
        <v>1.52651293</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32.580420109999999</v>
      </c>
      <c r="F25" s="16">
        <v>1.9455988799999999</v>
      </c>
      <c r="G25" s="14">
        <v>67.419579889999994</v>
      </c>
      <c r="H25" s="16">
        <v>1.9455988799999999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31.576769670000001</v>
      </c>
      <c r="F26" s="16">
        <v>2.24256396</v>
      </c>
      <c r="G26" s="14">
        <v>68.423230329999996</v>
      </c>
      <c r="H26" s="16">
        <v>2.24256396</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34.688381159999999</v>
      </c>
      <c r="F27" s="16">
        <v>2.2237347999999999</v>
      </c>
      <c r="G27" s="14">
        <v>65.311618839999994</v>
      </c>
      <c r="H27" s="16">
        <v>2.2237347999999999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43.251438729999997</v>
      </c>
      <c r="F28" s="16">
        <v>2.25282508</v>
      </c>
      <c r="G28" s="14">
        <v>56.748561270000003</v>
      </c>
      <c r="H28" s="16">
        <v>2.25282508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32.223943759999997</v>
      </c>
      <c r="F29" s="16">
        <v>2.08053979</v>
      </c>
      <c r="G29" s="14">
        <v>67.776056240000003</v>
      </c>
      <c r="H29" s="16">
        <v>2.08053979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31.037395289999999</v>
      </c>
      <c r="F30" s="16">
        <v>1.92963284</v>
      </c>
      <c r="G30" s="14">
        <v>68.962604709999994</v>
      </c>
      <c r="H30" s="16">
        <v>1.92963284</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44.596618460000002</v>
      </c>
      <c r="F31" s="16">
        <v>2.2114001299999999</v>
      </c>
      <c r="G31" s="14">
        <v>55.403381539999998</v>
      </c>
      <c r="H31" s="16">
        <v>2.2114001299999999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30.957230549999998</v>
      </c>
      <c r="F33" s="16">
        <v>2.0715716500000001</v>
      </c>
      <c r="G33" s="14">
        <v>69.042769449999994</v>
      </c>
      <c r="H33" s="16">
        <v>2.0715716500000001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35.405679409999998</v>
      </c>
      <c r="F34" s="16">
        <v>2.24427076</v>
      </c>
      <c r="G34" s="14">
        <v>64.594320589999995</v>
      </c>
      <c r="H34" s="16">
        <v>2.24427076</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27.249559550000001</v>
      </c>
      <c r="F35" s="16">
        <v>2.3934417400000001</v>
      </c>
      <c r="G35" s="14">
        <v>72.750440449999999</v>
      </c>
      <c r="H35" s="16">
        <v>2.3934417400000001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38.843034799999998</v>
      </c>
      <c r="F36" s="16">
        <v>1.89109601</v>
      </c>
      <c r="G36" s="14">
        <v>61.156965200000002</v>
      </c>
      <c r="H36" s="16">
        <v>1.89109601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35.40179895</v>
      </c>
      <c r="F37" s="16">
        <v>2.2506161699999998</v>
      </c>
      <c r="G37" s="14">
        <v>64.59820105</v>
      </c>
      <c r="H37" s="16">
        <v>2.2506161699999998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49.16745324</v>
      </c>
      <c r="F39" s="16">
        <v>2.0961607600000001</v>
      </c>
      <c r="G39" s="14">
        <v>50.83254676</v>
      </c>
      <c r="H39" s="16">
        <v>2.0961607600000001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37.038435380000003</v>
      </c>
      <c r="F40" s="16">
        <v>2.1184895699999999</v>
      </c>
      <c r="G40" s="14">
        <v>62.961564619999997</v>
      </c>
      <c r="H40" s="16">
        <v>2.1184895699999999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35.882295249999999</v>
      </c>
      <c r="F41" s="16">
        <v>2.3818429399999999</v>
      </c>
      <c r="G41" s="14">
        <v>64.117704750000001</v>
      </c>
      <c r="H41" s="16">
        <v>2.3818429399999999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34.704729849999993</v>
      </c>
      <c r="F42" s="16">
        <f>IF(COUNT(F7:F41) &gt; 0, SQRT(SUMSQ(F7:F41)/(COUNT(F7:F41)*COUNT(F7:F41)) ), "—")</f>
        <v>0.38239352473754057</v>
      </c>
      <c r="G42" s="14">
        <f>IF(COUNT(G7:G41) &gt; 0, AVERAGE(G7:G41), "—")</f>
        <v>65.295270149999993</v>
      </c>
      <c r="H42" s="16">
        <f>IF(COUNT(H7:H41) &gt; 0, SQRT(SUMSQ(H7:H41)/(COUNT(H7:H41)*COUNT(H7:H41)) ), "—")</f>
        <v>0.38239352473754057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48.23463624</v>
      </c>
      <c r="F46" s="16">
        <v>1.69935043</v>
      </c>
      <c r="G46" s="14">
        <v>51.76536376</v>
      </c>
      <c r="H46" s="16">
        <v>1.69935043</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42.930334780000003</v>
      </c>
      <c r="F47" s="16">
        <v>2.4571547499999999</v>
      </c>
      <c r="G47" s="14">
        <v>57.069665219999997</v>
      </c>
      <c r="H47" s="16">
        <v>2.4571547499999999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20.644014009999999</v>
      </c>
      <c r="F48" s="16">
        <v>1.7889242400000001</v>
      </c>
      <c r="G48" s="14">
        <v>79.355985989999994</v>
      </c>
      <c r="H48" s="16">
        <v>1.7889242400000001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42.641118040000002</v>
      </c>
      <c r="F50" s="16">
        <v>1.948807</v>
      </c>
      <c r="G50" s="14">
        <v>57.358881959999998</v>
      </c>
      <c r="H50" s="16">
        <v>1.948807</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40.684699899999998</v>
      </c>
      <c r="F51" s="16">
        <v>2.44703998</v>
      </c>
      <c r="G51" s="14">
        <v>59.315300100000002</v>
      </c>
      <c r="H51" s="16">
        <v>2.44703998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38.491611919999997</v>
      </c>
      <c r="F52" s="16">
        <v>2.4744850199999999</v>
      </c>
      <c r="G52" s="14">
        <v>61.508388080000003</v>
      </c>
      <c r="H52" s="16">
        <v>2.4744850199999999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36.169682190000003</v>
      </c>
      <c r="F53" s="16">
        <v>2.3748884299999999</v>
      </c>
      <c r="G53" s="14">
        <v>63.830317809999997</v>
      </c>
      <c r="H53" s="16">
        <v>2.3748884299999999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30.282685910000001</v>
      </c>
      <c r="F56" s="16">
        <v>2.4303489800000002</v>
      </c>
      <c r="G56" s="14">
        <v>69.717314090000002</v>
      </c>
      <c r="H56" s="16">
        <v>2.4303489800000002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25.292670059999999</v>
      </c>
      <c r="F61" s="16">
        <v>1.9895901</v>
      </c>
      <c r="G61" s="14">
        <v>74.707329939999994</v>
      </c>
      <c r="H61" s="16">
        <v>1.9895901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14.365681759999999</v>
      </c>
      <c r="F62" s="16">
        <v>1.84677622</v>
      </c>
      <c r="G62" s="14">
        <v>85.634318239999999</v>
      </c>
      <c r="H62" s="16">
        <v>1.84677622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42.292541499999999</v>
      </c>
      <c r="F66" s="16">
        <v>2.2480815199999999</v>
      </c>
      <c r="G66" s="14">
        <v>57.707458500000001</v>
      </c>
      <c r="H66" s="16">
        <v>2.2480815199999999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43.800554259999998</v>
      </c>
      <c r="F67" s="16">
        <v>2.4517762400000001</v>
      </c>
      <c r="G67" s="14">
        <v>56.199445740000002</v>
      </c>
      <c r="H67" s="16">
        <v>2.4517762400000001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38.450136200000003</v>
      </c>
      <c r="F70" s="16">
        <v>2.9920854800000001</v>
      </c>
      <c r="G70" s="14">
        <v>61.549863799999997</v>
      </c>
      <c r="H70" s="16">
        <v>2.9920854800000001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17.461998550000001</v>
      </c>
      <c r="F72" s="16">
        <v>1.62633925</v>
      </c>
      <c r="G72" s="14">
        <v>82.538001449999996</v>
      </c>
      <c r="H72" s="16">
        <v>1.62633925</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40.900452090000002</v>
      </c>
      <c r="F73" s="16">
        <v>2.39287216</v>
      </c>
      <c r="G73" s="14">
        <v>59.099547909999998</v>
      </c>
      <c r="H73" s="16">
        <v>2.39287216</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54.360202200000003</v>
      </c>
      <c r="F75" s="16">
        <v>2.2443221200000001</v>
      </c>
      <c r="G75" s="14">
        <v>45.639797799999997</v>
      </c>
      <c r="H75" s="16">
        <v>2.2443221200000001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40.492600019999998</v>
      </c>
      <c r="F76" s="16">
        <v>1.6463961899999999</v>
      </c>
      <c r="G76" s="14">
        <v>59.507399980000002</v>
      </c>
      <c r="H76" s="16">
        <v>1.6463961899999999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41.713795830000002</v>
      </c>
      <c r="F77" s="16">
        <v>2.3294144600000002</v>
      </c>
      <c r="G77" s="14">
        <v>58.286204169999998</v>
      </c>
      <c r="H77" s="16">
        <v>2.3294144600000002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48.71060928</v>
      </c>
      <c r="F81" s="16">
        <v>2.0969329999999999</v>
      </c>
      <c r="G81" s="14">
        <v>51.28939072</v>
      </c>
      <c r="H81" s="16">
        <v>2.0969329999999999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28.779285340000001</v>
      </c>
      <c r="F7" s="16">
        <v>1.80066784</v>
      </c>
      <c r="G7" s="14">
        <v>71.220714659999999</v>
      </c>
      <c r="H7" s="16">
        <v>1.80066784</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25.60708253</v>
      </c>
      <c r="F8" s="16">
        <v>2.3268978900000001</v>
      </c>
      <c r="G8" s="14">
        <v>74.39291747</v>
      </c>
      <c r="H8" s="16">
        <v>2.3268978900000001</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31.756080780000001</v>
      </c>
      <c r="F9" s="16">
        <v>1.7548598500000001</v>
      </c>
      <c r="G9" s="14">
        <v>68.243919219999995</v>
      </c>
      <c r="H9" s="16">
        <v>1.7548598500000001</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24.76420495</v>
      </c>
      <c r="F10" s="16">
        <v>1.5207435899999999</v>
      </c>
      <c r="G10" s="14">
        <v>75.235795049999993</v>
      </c>
      <c r="H10" s="16">
        <v>1.5207435899999999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51.43278342</v>
      </c>
      <c r="F11" s="16">
        <v>2.6378719799999999</v>
      </c>
      <c r="G11" s="14">
        <v>48.56721658</v>
      </c>
      <c r="H11" s="16">
        <v>2.6378719799999999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32.639191539999999</v>
      </c>
      <c r="F12" s="16">
        <v>2.12685061</v>
      </c>
      <c r="G12" s="14">
        <v>67.360808460000001</v>
      </c>
      <c r="H12" s="16">
        <v>2.12685061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36.525861659999997</v>
      </c>
      <c r="F13" s="16">
        <v>2.30407852</v>
      </c>
      <c r="G13" s="14">
        <v>63.474138340000003</v>
      </c>
      <c r="H13" s="16">
        <v>2.30407852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18.06857888</v>
      </c>
      <c r="F14" s="16">
        <v>1.64119704</v>
      </c>
      <c r="G14" s="14">
        <v>81.931421119999996</v>
      </c>
      <c r="H14" s="16">
        <v>1.64119704</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29.557859709999999</v>
      </c>
      <c r="F15" s="16">
        <v>2.0096645299999998</v>
      </c>
      <c r="G15" s="14">
        <v>70.442140289999998</v>
      </c>
      <c r="H15" s="16">
        <v>2.0096645299999998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31.68057189</v>
      </c>
      <c r="F16" s="16">
        <v>1.8737106400000001</v>
      </c>
      <c r="G16" s="14">
        <v>68.319428110000004</v>
      </c>
      <c r="H16" s="16">
        <v>1.8737106400000001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21.132544899999999</v>
      </c>
      <c r="F17" s="16">
        <v>1.44921429</v>
      </c>
      <c r="G17" s="14">
        <v>78.867455100000001</v>
      </c>
      <c r="H17" s="16">
        <v>1.44921429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40.893262329999999</v>
      </c>
      <c r="F18" s="16">
        <v>2.6164594700000001</v>
      </c>
      <c r="G18" s="14">
        <v>59.106737670000001</v>
      </c>
      <c r="H18" s="16">
        <v>2.6164594700000001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36.022827630000002</v>
      </c>
      <c r="F19" s="16">
        <v>2.2600134000000001</v>
      </c>
      <c r="G19" s="14">
        <v>63.977172369999998</v>
      </c>
      <c r="H19" s="16">
        <v>2.2600134000000001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35.239795729999997</v>
      </c>
      <c r="F20" s="16">
        <v>2.9739779400000002</v>
      </c>
      <c r="G20" s="14">
        <v>64.760204270000003</v>
      </c>
      <c r="H20" s="16">
        <v>2.9739779400000002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44.69299153</v>
      </c>
      <c r="F22" s="16">
        <v>2.6450629000000001</v>
      </c>
      <c r="G22" s="14">
        <v>55.30700847</v>
      </c>
      <c r="H22" s="16">
        <v>2.6450629000000001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31.914172279999999</v>
      </c>
      <c r="F23" s="16">
        <v>2.3598169000000002</v>
      </c>
      <c r="G23" s="14">
        <v>68.085827719999997</v>
      </c>
      <c r="H23" s="16">
        <v>2.3598169000000002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13.46311702</v>
      </c>
      <c r="F24" s="16">
        <v>1.1225163899999999</v>
      </c>
      <c r="G24" s="14">
        <v>86.536882980000001</v>
      </c>
      <c r="H24" s="16">
        <v>1.1225163899999999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12.394122579999999</v>
      </c>
      <c r="F25" s="16">
        <v>1.50067328</v>
      </c>
      <c r="G25" s="14">
        <v>87.605877419999999</v>
      </c>
      <c r="H25" s="16">
        <v>1.50067328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29.95739476</v>
      </c>
      <c r="F26" s="16">
        <v>2.4617378599999999</v>
      </c>
      <c r="G26" s="14">
        <v>70.04260524</v>
      </c>
      <c r="H26" s="16">
        <v>2.4617378599999999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27.63726823</v>
      </c>
      <c r="F27" s="16">
        <v>2.1613387099999999</v>
      </c>
      <c r="G27" s="14">
        <v>72.362731769999996</v>
      </c>
      <c r="H27" s="16">
        <v>2.1613387099999999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48.21363667</v>
      </c>
      <c r="F28" s="16">
        <v>2.1228818399999998</v>
      </c>
      <c r="G28" s="14">
        <v>51.78636333</v>
      </c>
      <c r="H28" s="16">
        <v>2.1228818399999998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32.958466659999999</v>
      </c>
      <c r="F29" s="16">
        <v>2.3811147699999999</v>
      </c>
      <c r="G29" s="14">
        <v>67.041533340000001</v>
      </c>
      <c r="H29" s="16">
        <v>2.3811147699999999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25.494581010000001</v>
      </c>
      <c r="F30" s="16">
        <v>3.0213167300000001</v>
      </c>
      <c r="G30" s="14">
        <v>74.505418989999995</v>
      </c>
      <c r="H30" s="16">
        <v>3.0213167300000001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37.387071929999998</v>
      </c>
      <c r="F31" s="16">
        <v>2.3051685900000001</v>
      </c>
      <c r="G31" s="14">
        <v>62.612928070000002</v>
      </c>
      <c r="H31" s="16">
        <v>2.3051685900000001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29.73963891</v>
      </c>
      <c r="F33" s="16">
        <v>2.1728547699999998</v>
      </c>
      <c r="G33" s="14">
        <v>70.260361090000004</v>
      </c>
      <c r="H33" s="16">
        <v>2.1728547699999998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40.697539050000003</v>
      </c>
      <c r="F34" s="16">
        <v>2.19880056</v>
      </c>
      <c r="G34" s="14">
        <v>59.302460949999997</v>
      </c>
      <c r="H34" s="16">
        <v>2.19880056</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26.4527489</v>
      </c>
      <c r="F35" s="16">
        <v>2.6748900500000001</v>
      </c>
      <c r="G35" s="14">
        <v>73.547251099999997</v>
      </c>
      <c r="H35" s="16">
        <v>2.6748900500000001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30.505708670000001</v>
      </c>
      <c r="F36" s="16">
        <v>2.1348453900000002</v>
      </c>
      <c r="G36" s="14">
        <v>69.494291329999996</v>
      </c>
      <c r="H36" s="16">
        <v>2.1348453900000002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30.112179009999998</v>
      </c>
      <c r="F37" s="16">
        <v>2.0342023400000002</v>
      </c>
      <c r="G37" s="14">
        <v>69.887820989999994</v>
      </c>
      <c r="H37" s="16">
        <v>2.0342023400000002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55.23848778</v>
      </c>
      <c r="F39" s="16">
        <v>2.66466615</v>
      </c>
      <c r="G39" s="14">
        <v>44.76151222</v>
      </c>
      <c r="H39" s="16">
        <v>2.66466615</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26.83290156</v>
      </c>
      <c r="F40" s="16">
        <v>1.7525434099999999</v>
      </c>
      <c r="G40" s="14">
        <v>73.167098440000004</v>
      </c>
      <c r="H40" s="16">
        <v>1.7525434099999999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29.357297429999999</v>
      </c>
      <c r="F41" s="16">
        <v>1.87729626</v>
      </c>
      <c r="G41" s="14">
        <v>70.642702569999997</v>
      </c>
      <c r="H41" s="16">
        <v>1.87729626</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31.785914227187504</v>
      </c>
      <c r="F42" s="16">
        <f>IF(COUNT(F7:F41) &gt; 0, SQRT(SUMSQ(F7:F41)/(COUNT(F7:F41)*COUNT(F7:F41)) ), "—")</f>
        <v>0.3884450872479483</v>
      </c>
      <c r="G42" s="14">
        <f>IF(COUNT(G7:G41) &gt; 0, AVERAGE(G7:G41), "—")</f>
        <v>68.214085772812496</v>
      </c>
      <c r="H42" s="16">
        <f>IF(COUNT(H7:H41) &gt; 0, SQRT(SUMSQ(H7:H41)/(COUNT(H7:H41)*COUNT(H7:H41)) ), "—")</f>
        <v>0.3884450872479483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57.710445530000001</v>
      </c>
      <c r="F46" s="16">
        <v>1.9789304700000001</v>
      </c>
      <c r="G46" s="14">
        <v>42.289554469999999</v>
      </c>
      <c r="H46" s="16">
        <v>1.9789304700000001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51.017126240000003</v>
      </c>
      <c r="F47" s="16">
        <v>2.6624599</v>
      </c>
      <c r="G47" s="14">
        <v>48.982873759999997</v>
      </c>
      <c r="H47" s="16">
        <v>2.6624599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27.955639519999998</v>
      </c>
      <c r="F48" s="16">
        <v>1.9508247000000001</v>
      </c>
      <c r="G48" s="14">
        <v>72.044360479999995</v>
      </c>
      <c r="H48" s="16">
        <v>1.9508247000000001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54.819850610000003</v>
      </c>
      <c r="F50" s="16">
        <v>2.3093852400000001</v>
      </c>
      <c r="G50" s="14">
        <v>45.180149389999997</v>
      </c>
      <c r="H50" s="16">
        <v>2.3093852400000001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49.839465339999997</v>
      </c>
      <c r="F51" s="16">
        <v>2.4607861199999999</v>
      </c>
      <c r="G51" s="14">
        <v>50.160534660000003</v>
      </c>
      <c r="H51" s="16">
        <v>2.4607861199999999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40.362188580000002</v>
      </c>
      <c r="F52" s="16">
        <v>2.16331585</v>
      </c>
      <c r="G52" s="14">
        <v>59.637811419999998</v>
      </c>
      <c r="H52" s="16">
        <v>2.16331585</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41.448605970000003</v>
      </c>
      <c r="F53" s="16">
        <v>2.3693056800000001</v>
      </c>
      <c r="G53" s="14">
        <v>58.551394029999997</v>
      </c>
      <c r="H53" s="16">
        <v>2.3693056800000001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12.03994327</v>
      </c>
      <c r="F56" s="16">
        <v>1.6954342600000001</v>
      </c>
      <c r="G56" s="14">
        <v>87.960056730000005</v>
      </c>
      <c r="H56" s="16">
        <v>1.6954342600000001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30.99777023</v>
      </c>
      <c r="F61" s="16">
        <v>2.1723978700000002</v>
      </c>
      <c r="G61" s="14">
        <v>69.00222977</v>
      </c>
      <c r="H61" s="16">
        <v>2.1723978700000002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13.835657469999999</v>
      </c>
      <c r="F62" s="16">
        <v>1.7196524200000001</v>
      </c>
      <c r="G62" s="14">
        <v>86.164342529999999</v>
      </c>
      <c r="H62" s="16">
        <v>1.7196524200000001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53.309227219999997</v>
      </c>
      <c r="F66" s="16">
        <v>2.1742710700000001</v>
      </c>
      <c r="G66" s="14">
        <v>46.690772780000003</v>
      </c>
      <c r="H66" s="16">
        <v>2.1742710700000001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52.346793669999997</v>
      </c>
      <c r="F67" s="16">
        <v>2.6501095700000001</v>
      </c>
      <c r="G67" s="14">
        <v>47.653206330000003</v>
      </c>
      <c r="H67" s="16">
        <v>2.6501095700000001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45.228231149999999</v>
      </c>
      <c r="F70" s="16">
        <v>2.8643456399999998</v>
      </c>
      <c r="G70" s="14">
        <v>54.771768850000001</v>
      </c>
      <c r="H70" s="16">
        <v>2.8643456399999998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15.73159369</v>
      </c>
      <c r="F72" s="16">
        <v>1.4921037699999999</v>
      </c>
      <c r="G72" s="14">
        <v>84.268406310000003</v>
      </c>
      <c r="H72" s="16">
        <v>1.4921037699999999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41.064146870000002</v>
      </c>
      <c r="F73" s="16">
        <v>2.3550185799999999</v>
      </c>
      <c r="G73" s="14">
        <v>58.935853129999998</v>
      </c>
      <c r="H73" s="16">
        <v>2.3550185799999999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66.392290090000003</v>
      </c>
      <c r="F75" s="16">
        <v>2.7046579799999999</v>
      </c>
      <c r="G75" s="14">
        <v>33.607709909999997</v>
      </c>
      <c r="H75" s="16">
        <v>2.7046579799999999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48.18800186</v>
      </c>
      <c r="F76" s="16">
        <v>1.68805373</v>
      </c>
      <c r="G76" s="14">
        <v>51.81199814</v>
      </c>
      <c r="H76" s="16">
        <v>1.68805373</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45.567466529999997</v>
      </c>
      <c r="F77" s="16">
        <v>2.3827807399999998</v>
      </c>
      <c r="G77" s="14">
        <v>54.432533470000003</v>
      </c>
      <c r="H77" s="16">
        <v>2.3827807399999998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41.351893619999998</v>
      </c>
      <c r="F81" s="16">
        <v>2.5624862300000002</v>
      </c>
      <c r="G81" s="14">
        <v>58.648106380000002</v>
      </c>
      <c r="H81" s="16">
        <v>2.5624862300000002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12.62767025</v>
      </c>
      <c r="F7" s="16">
        <v>0.99733355000000001</v>
      </c>
      <c r="G7" s="14">
        <v>87.372329750000006</v>
      </c>
      <c r="H7" s="16">
        <v>0.99733355000000001</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12.24277998</v>
      </c>
      <c r="F8" s="16">
        <v>1.5573406599999999</v>
      </c>
      <c r="G8" s="14">
        <v>87.757220020000005</v>
      </c>
      <c r="H8" s="16">
        <v>1.5573406599999999</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9.6941547200000002</v>
      </c>
      <c r="F9" s="16">
        <v>1.2249778</v>
      </c>
      <c r="G9" s="14">
        <v>90.30584528</v>
      </c>
      <c r="H9" s="16">
        <v>1.2249778</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9.83986114</v>
      </c>
      <c r="F10" s="16">
        <v>1.00081581</v>
      </c>
      <c r="G10" s="14">
        <v>90.160138860000004</v>
      </c>
      <c r="H10" s="16">
        <v>1.00081581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9.8234273900000009</v>
      </c>
      <c r="F11" s="16">
        <v>1.6691043800000001</v>
      </c>
      <c r="G11" s="14">
        <v>90.176572609999994</v>
      </c>
      <c r="H11" s="16">
        <v>1.6691043800000001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14.01303583</v>
      </c>
      <c r="F12" s="16">
        <v>2.0397189500000001</v>
      </c>
      <c r="G12" s="14">
        <v>85.986964169999993</v>
      </c>
      <c r="H12" s="16">
        <v>2.0397189500000001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12.71135099</v>
      </c>
      <c r="F13" s="16">
        <v>1.63450093</v>
      </c>
      <c r="G13" s="14">
        <v>87.28864901</v>
      </c>
      <c r="H13" s="16">
        <v>1.63450093</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9.7708422899999992</v>
      </c>
      <c r="F14" s="16">
        <v>1.5156992600000001</v>
      </c>
      <c r="G14" s="14">
        <v>90.229157709999996</v>
      </c>
      <c r="H14" s="16">
        <v>1.5156992600000001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7.0766339800000004</v>
      </c>
      <c r="F15" s="16">
        <v>1.3692392900000001</v>
      </c>
      <c r="G15" s="14">
        <v>92.923366020000003</v>
      </c>
      <c r="H15" s="16">
        <v>1.3692392900000001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9.3254210099999995</v>
      </c>
      <c r="F16" s="16">
        <v>1.14399691</v>
      </c>
      <c r="G16" s="14">
        <v>90.674578990000001</v>
      </c>
      <c r="H16" s="16">
        <v>1.14399691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12.6111185</v>
      </c>
      <c r="F17" s="16">
        <v>1.41189776</v>
      </c>
      <c r="G17" s="14">
        <v>87.388881499999997</v>
      </c>
      <c r="H17" s="16">
        <v>1.41189776</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10.05175837</v>
      </c>
      <c r="F18" s="16">
        <v>1.7246111200000001</v>
      </c>
      <c r="G18" s="14">
        <v>89.948241629999998</v>
      </c>
      <c r="H18" s="16">
        <v>1.7246111200000001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14.50319127</v>
      </c>
      <c r="F19" s="16">
        <v>1.3866964100000001</v>
      </c>
      <c r="G19" s="14">
        <v>85.496808729999998</v>
      </c>
      <c r="H19" s="16">
        <v>1.3866964100000001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9.7616256099999994</v>
      </c>
      <c r="F20" s="16">
        <v>1.7840293</v>
      </c>
      <c r="G20" s="14">
        <v>90.238374390000004</v>
      </c>
      <c r="H20" s="16">
        <v>1.7840293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17.91435469</v>
      </c>
      <c r="F22" s="16">
        <v>1.9834373300000001</v>
      </c>
      <c r="G22" s="14">
        <v>82.085645310000004</v>
      </c>
      <c r="H22" s="16">
        <v>1.9834373300000001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8.4530866699999994</v>
      </c>
      <c r="F23" s="16">
        <v>1.0927291800000001</v>
      </c>
      <c r="G23" s="14">
        <v>91.546913329999995</v>
      </c>
      <c r="H23" s="16">
        <v>1.0927291800000001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7.8413506100000001</v>
      </c>
      <c r="F24" s="16">
        <v>1.09628814</v>
      </c>
      <c r="G24" s="14">
        <v>92.158649389999994</v>
      </c>
      <c r="H24" s="16">
        <v>1.09628814</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17.898673339999998</v>
      </c>
      <c r="F25" s="16">
        <v>1.7064222200000001</v>
      </c>
      <c r="G25" s="14">
        <v>82.101326659999998</v>
      </c>
      <c r="H25" s="16">
        <v>1.7064222200000001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10.668419930000001</v>
      </c>
      <c r="F26" s="16">
        <v>1.4750326600000001</v>
      </c>
      <c r="G26" s="14">
        <v>89.331580070000001</v>
      </c>
      <c r="H26" s="16">
        <v>1.4750326600000001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6.4761928299999996</v>
      </c>
      <c r="F27" s="16">
        <v>1.1176004900000001</v>
      </c>
      <c r="G27" s="14">
        <v>93.523807169999998</v>
      </c>
      <c r="H27" s="16">
        <v>1.1176004900000001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10.523477249999999</v>
      </c>
      <c r="F28" s="16">
        <v>1.73176668</v>
      </c>
      <c r="G28" s="14">
        <v>89.476522750000001</v>
      </c>
      <c r="H28" s="16">
        <v>1.73176668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7.51506045</v>
      </c>
      <c r="F29" s="16">
        <v>1.2307496200000001</v>
      </c>
      <c r="G29" s="14">
        <v>92.484939550000007</v>
      </c>
      <c r="H29" s="16">
        <v>1.2307496200000001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13.78738381</v>
      </c>
      <c r="F30" s="16">
        <v>1.8898808</v>
      </c>
      <c r="G30" s="14">
        <v>86.212616190000006</v>
      </c>
      <c r="H30" s="16">
        <v>1.8898808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12.023013779999999</v>
      </c>
      <c r="F31" s="16">
        <v>1.5446089199999999</v>
      </c>
      <c r="G31" s="14">
        <v>87.976986220000001</v>
      </c>
      <c r="H31" s="16">
        <v>1.5446089199999999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6.8837704899999999</v>
      </c>
      <c r="F33" s="16">
        <v>1.22358009</v>
      </c>
      <c r="G33" s="14">
        <v>93.116229509999997</v>
      </c>
      <c r="H33" s="16">
        <v>1.22358009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16.56868742</v>
      </c>
      <c r="F34" s="16">
        <v>1.9836580500000001</v>
      </c>
      <c r="G34" s="14">
        <v>83.431312579999997</v>
      </c>
      <c r="H34" s="16">
        <v>1.9836580500000001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10.88103984</v>
      </c>
      <c r="F35" s="16">
        <v>2.0528438900000001</v>
      </c>
      <c r="G35" s="14">
        <v>89.11896016</v>
      </c>
      <c r="H35" s="16">
        <v>2.0528438900000001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7.9712480399999999</v>
      </c>
      <c r="F36" s="16">
        <v>1.2413880799999999</v>
      </c>
      <c r="G36" s="14">
        <v>92.028751959999994</v>
      </c>
      <c r="H36" s="16">
        <v>1.2413880799999999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8.7921734399999991</v>
      </c>
      <c r="F37" s="16">
        <v>1.3982638300000001</v>
      </c>
      <c r="G37" s="14">
        <v>91.207826560000001</v>
      </c>
      <c r="H37" s="16">
        <v>1.3982638300000001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18.679053360000001</v>
      </c>
      <c r="F39" s="16">
        <v>1.4638828500000001</v>
      </c>
      <c r="G39" s="14">
        <v>81.320946640000003</v>
      </c>
      <c r="H39" s="16">
        <v>1.4638828500000001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11.499715630000001</v>
      </c>
      <c r="F40" s="16">
        <v>1.2871146</v>
      </c>
      <c r="G40" s="14">
        <v>88.500284370000003</v>
      </c>
      <c r="H40" s="16">
        <v>1.2871146</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15.413326980000001</v>
      </c>
      <c r="F41" s="16">
        <v>1.9257687299999999</v>
      </c>
      <c r="G41" s="14">
        <v>84.586673020000006</v>
      </c>
      <c r="H41" s="16">
        <v>1.9257687299999999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11.370090621562502</v>
      </c>
      <c r="F42" s="16">
        <f>IF(COUNT(F7:F41) &gt; 0, SQRT(SUMSQ(F7:F41)/(COUNT(F7:F41)*COUNT(F7:F41)) ), "—")</f>
        <v>0.27042148574296954</v>
      </c>
      <c r="G42" s="14">
        <f>IF(COUNT(G7:G41) &gt; 0, AVERAGE(G7:G41), "—")</f>
        <v>88.629909378437489</v>
      </c>
      <c r="H42" s="16">
        <f>IF(COUNT(H7:H41) &gt; 0, SQRT(SUMSQ(H7:H41)/(COUNT(H7:H41)*COUNT(H7:H41)) ), "—")</f>
        <v>0.27042148574296954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13.54162296</v>
      </c>
      <c r="F46" s="16">
        <v>1.1928614500000001</v>
      </c>
      <c r="G46" s="14">
        <v>86.458377040000002</v>
      </c>
      <c r="H46" s="16">
        <v>1.1928614500000001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12.50874275</v>
      </c>
      <c r="F47" s="16">
        <v>1.65807137</v>
      </c>
      <c r="G47" s="14">
        <v>87.491257250000004</v>
      </c>
      <c r="H47" s="16">
        <v>1.65807137</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17.55118723</v>
      </c>
      <c r="F48" s="16">
        <v>2.05585489</v>
      </c>
      <c r="G48" s="14">
        <v>82.448812770000004</v>
      </c>
      <c r="H48" s="16">
        <v>2.05585489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14.50511549</v>
      </c>
      <c r="F50" s="16">
        <v>1.5101313999999999</v>
      </c>
      <c r="G50" s="14">
        <v>85.494884510000006</v>
      </c>
      <c r="H50" s="16">
        <v>1.5101313999999999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9.3297781000000004</v>
      </c>
      <c r="F51" s="16">
        <v>1.46164451</v>
      </c>
      <c r="G51" s="14">
        <v>90.670221900000001</v>
      </c>
      <c r="H51" s="16">
        <v>1.46164451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9.2634932600000006</v>
      </c>
      <c r="F52" s="16">
        <v>1.32739794</v>
      </c>
      <c r="G52" s="14">
        <v>90.736506739999996</v>
      </c>
      <c r="H52" s="16">
        <v>1.32739794</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25.310468100000001</v>
      </c>
      <c r="F53" s="16">
        <v>1.9122338699999999</v>
      </c>
      <c r="G53" s="14">
        <v>74.689531900000006</v>
      </c>
      <c r="H53" s="16">
        <v>1.9122338699999999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13.42149064</v>
      </c>
      <c r="F56" s="16">
        <v>1.5279113799999999</v>
      </c>
      <c r="G56" s="14">
        <v>86.578509359999998</v>
      </c>
      <c r="H56" s="16">
        <v>1.5279113799999999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10.60595861</v>
      </c>
      <c r="F61" s="16">
        <v>1.5642831800000001</v>
      </c>
      <c r="G61" s="14">
        <v>89.394041389999998</v>
      </c>
      <c r="H61" s="16">
        <v>1.5642831800000001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8.6719588400000003</v>
      </c>
      <c r="F62" s="16">
        <v>1.57925392</v>
      </c>
      <c r="G62" s="14">
        <v>91.328041159999998</v>
      </c>
      <c r="H62" s="16">
        <v>1.57925392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22.79173518</v>
      </c>
      <c r="F66" s="16">
        <v>2.4389192400000002</v>
      </c>
      <c r="G66" s="14">
        <v>77.208264819999997</v>
      </c>
      <c r="H66" s="16">
        <v>2.4389192400000002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10.137929400000001</v>
      </c>
      <c r="F67" s="16">
        <v>1.5492128700000001</v>
      </c>
      <c r="G67" s="14">
        <v>89.862070599999996</v>
      </c>
      <c r="H67" s="16">
        <v>1.5492128700000001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11.862496589999999</v>
      </c>
      <c r="F70" s="16">
        <v>1.50170574</v>
      </c>
      <c r="G70" s="14">
        <v>88.137503409999994</v>
      </c>
      <c r="H70" s="16">
        <v>1.50170574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10.77969148</v>
      </c>
      <c r="F72" s="16">
        <v>1.2379083200000001</v>
      </c>
      <c r="G72" s="14">
        <v>89.220308520000003</v>
      </c>
      <c r="H72" s="16">
        <v>1.2379083200000001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18.912521009999999</v>
      </c>
      <c r="F73" s="16">
        <v>2.02733081</v>
      </c>
      <c r="G73" s="14">
        <v>81.087478989999994</v>
      </c>
      <c r="H73" s="16">
        <v>2.02733081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24.852816539999999</v>
      </c>
      <c r="F75" s="16">
        <v>2.02526077</v>
      </c>
      <c r="G75" s="14">
        <v>75.147183459999994</v>
      </c>
      <c r="H75" s="16">
        <v>2.02526077</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17.357257659999998</v>
      </c>
      <c r="F76" s="16">
        <v>1.1555123599999999</v>
      </c>
      <c r="G76" s="14">
        <v>82.642742339999998</v>
      </c>
      <c r="H76" s="16">
        <v>1.1555123599999999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13.98709079</v>
      </c>
      <c r="F77" s="16">
        <v>1.6280317399999999</v>
      </c>
      <c r="G77" s="14">
        <v>86.012909210000004</v>
      </c>
      <c r="H77" s="16">
        <v>1.6280317399999999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26.11329061</v>
      </c>
      <c r="F81" s="16">
        <v>1.8873343199999999</v>
      </c>
      <c r="G81" s="14">
        <v>73.886709389999993</v>
      </c>
      <c r="H81" s="16">
        <v>1.8873343199999999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20.881047760000001</v>
      </c>
      <c r="F7" s="16">
        <v>1.40741272</v>
      </c>
      <c r="G7" s="14">
        <v>79.118952239999999</v>
      </c>
      <c r="H7" s="16">
        <v>1.40741272</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8.7264051899999995</v>
      </c>
      <c r="F8" s="16">
        <v>1.3381329200000001</v>
      </c>
      <c r="G8" s="14">
        <v>91.273594810000006</v>
      </c>
      <c r="H8" s="16">
        <v>1.3381329200000001</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12.8736636</v>
      </c>
      <c r="F9" s="16">
        <v>1.3268281200000001</v>
      </c>
      <c r="G9" s="14">
        <v>87.1263364</v>
      </c>
      <c r="H9" s="16">
        <v>1.3268281200000001</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17.484802070000001</v>
      </c>
      <c r="F10" s="16">
        <v>1.29863076</v>
      </c>
      <c r="G10" s="14">
        <v>82.515197929999999</v>
      </c>
      <c r="H10" s="16">
        <v>1.29863076</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22.654658789999999</v>
      </c>
      <c r="F11" s="16">
        <v>2.2796074499999999</v>
      </c>
      <c r="G11" s="14">
        <v>77.345341210000001</v>
      </c>
      <c r="H11" s="16">
        <v>2.2796074499999999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15.57166634</v>
      </c>
      <c r="F12" s="16">
        <v>1.6581025199999999</v>
      </c>
      <c r="G12" s="14">
        <v>84.428333660000007</v>
      </c>
      <c r="H12" s="16">
        <v>1.6581025199999999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16.85413853</v>
      </c>
      <c r="F13" s="16">
        <v>1.7087516700000001</v>
      </c>
      <c r="G13" s="14">
        <v>83.14586147</v>
      </c>
      <c r="H13" s="16">
        <v>1.7087516700000001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5.7162178600000004</v>
      </c>
      <c r="F14" s="16">
        <v>1.20764289</v>
      </c>
      <c r="G14" s="14">
        <v>94.28378214</v>
      </c>
      <c r="H14" s="16">
        <v>1.20764289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10.27464082</v>
      </c>
      <c r="F15" s="16">
        <v>1.21714498</v>
      </c>
      <c r="G15" s="14">
        <v>89.725359179999998</v>
      </c>
      <c r="H15" s="16">
        <v>1.21714498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13.309563239999999</v>
      </c>
      <c r="F16" s="16">
        <v>1.53798331</v>
      </c>
      <c r="G16" s="14">
        <v>86.690436759999997</v>
      </c>
      <c r="H16" s="16">
        <v>1.53798331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9.8973078900000004</v>
      </c>
      <c r="F17" s="16">
        <v>1.2099537899999999</v>
      </c>
      <c r="G17" s="14">
        <v>90.102692110000007</v>
      </c>
      <c r="H17" s="16">
        <v>1.2099537899999999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21.807435330000001</v>
      </c>
      <c r="F18" s="16">
        <v>2.2537829399999998</v>
      </c>
      <c r="G18" s="14">
        <v>78.192564669999996</v>
      </c>
      <c r="H18" s="16">
        <v>2.2537829399999998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22.515336090000002</v>
      </c>
      <c r="F19" s="16">
        <v>1.9816906299999999</v>
      </c>
      <c r="G19" s="14">
        <v>77.484663909999995</v>
      </c>
      <c r="H19" s="16">
        <v>1.9816906299999999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12.27298964</v>
      </c>
      <c r="F20" s="16">
        <v>2.06258535</v>
      </c>
      <c r="G20" s="14">
        <v>87.727010359999994</v>
      </c>
      <c r="H20" s="16">
        <v>2.06258535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18.051079900000001</v>
      </c>
      <c r="F22" s="16">
        <v>1.9268106599999999</v>
      </c>
      <c r="G22" s="14">
        <v>81.948920099999995</v>
      </c>
      <c r="H22" s="16">
        <v>1.9268106599999999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14.996676089999999</v>
      </c>
      <c r="F23" s="16">
        <v>1.90627941</v>
      </c>
      <c r="G23" s="14">
        <v>85.003323910000006</v>
      </c>
      <c r="H23" s="16">
        <v>1.90627941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6.9435194400000002</v>
      </c>
      <c r="F24" s="16">
        <v>0.99928258999999997</v>
      </c>
      <c r="G24" s="14">
        <v>93.056480559999997</v>
      </c>
      <c r="H24" s="16">
        <v>0.99928258999999997</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8.9369840899999993</v>
      </c>
      <c r="F25" s="16">
        <v>1.44372379</v>
      </c>
      <c r="G25" s="14">
        <v>91.063015910000004</v>
      </c>
      <c r="H25" s="16">
        <v>1.44372379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11.37157524</v>
      </c>
      <c r="F26" s="16">
        <v>1.5935849499999999</v>
      </c>
      <c r="G26" s="14">
        <v>88.628424760000001</v>
      </c>
      <c r="H26" s="16">
        <v>1.5935849499999999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14.544233180000001</v>
      </c>
      <c r="F27" s="16">
        <v>1.7588465499999999</v>
      </c>
      <c r="G27" s="14">
        <v>85.455766819999994</v>
      </c>
      <c r="H27" s="16">
        <v>1.7588465499999999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32.03269804</v>
      </c>
      <c r="F28" s="16">
        <v>2.3919666899999998</v>
      </c>
      <c r="G28" s="14">
        <v>67.96730196</v>
      </c>
      <c r="H28" s="16">
        <v>2.3919666899999998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11.090699730000001</v>
      </c>
      <c r="F29" s="16">
        <v>1.38403918</v>
      </c>
      <c r="G29" s="14">
        <v>88.909300270000003</v>
      </c>
      <c r="H29" s="16">
        <v>1.38403918</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17.54741774</v>
      </c>
      <c r="F30" s="16">
        <v>2.03902458</v>
      </c>
      <c r="G30" s="14">
        <v>82.45258226</v>
      </c>
      <c r="H30" s="16">
        <v>2.03902458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11.24163856</v>
      </c>
      <c r="F31" s="16">
        <v>1.4430542500000001</v>
      </c>
      <c r="G31" s="14">
        <v>88.758361440000002</v>
      </c>
      <c r="H31" s="16">
        <v>1.4430542500000001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10.75261012</v>
      </c>
      <c r="F33" s="16">
        <v>1.2897364499999999</v>
      </c>
      <c r="G33" s="14">
        <v>89.24738988</v>
      </c>
      <c r="H33" s="16">
        <v>1.2897364499999999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18.99003635</v>
      </c>
      <c r="F34" s="16">
        <v>1.91396005</v>
      </c>
      <c r="G34" s="14">
        <v>81.009963650000003</v>
      </c>
      <c r="H34" s="16">
        <v>1.91396005</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7.9565012099999999</v>
      </c>
      <c r="F35" s="16">
        <v>1.41187511</v>
      </c>
      <c r="G35" s="14">
        <v>92.043498790000001</v>
      </c>
      <c r="H35" s="16">
        <v>1.41187511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11.542859099999999</v>
      </c>
      <c r="F36" s="16">
        <v>1.39992096</v>
      </c>
      <c r="G36" s="14">
        <v>88.457140899999999</v>
      </c>
      <c r="H36" s="16">
        <v>1.39992096</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15.551999139999999</v>
      </c>
      <c r="F37" s="16">
        <v>2.24512087</v>
      </c>
      <c r="G37" s="14">
        <v>84.448000859999993</v>
      </c>
      <c r="H37" s="16">
        <v>2.24512087</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34.154079340000003</v>
      </c>
      <c r="F39" s="16">
        <v>2.7246557600000001</v>
      </c>
      <c r="G39" s="14">
        <v>65.845920660000004</v>
      </c>
      <c r="H39" s="16">
        <v>2.7246557600000001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18.621044950000002</v>
      </c>
      <c r="F40" s="16">
        <v>1.66324486</v>
      </c>
      <c r="G40" s="14">
        <v>81.378955050000002</v>
      </c>
      <c r="H40" s="16">
        <v>1.66324486</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19.179980149999999</v>
      </c>
      <c r="F41" s="16">
        <v>1.5820866200000001</v>
      </c>
      <c r="G41" s="14">
        <v>80.820019849999994</v>
      </c>
      <c r="H41" s="16">
        <v>1.5820866200000001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15.448297047500002</v>
      </c>
      <c r="F42" s="16">
        <f>IF(COUNT(F7:F41) &gt; 0, SQRT(SUMSQ(F7:F41)/(COUNT(F7:F41)*COUNT(F7:F41)) ), "—")</f>
        <v>0.30469515246534951</v>
      </c>
      <c r="G42" s="14">
        <f>IF(COUNT(G7:G41) &gt; 0, AVERAGE(G7:G41), "—")</f>
        <v>84.55170295249998</v>
      </c>
      <c r="H42" s="16">
        <f>IF(COUNT(H7:H41) &gt; 0, SQRT(SUMSQ(H7:H41)/(COUNT(H7:H41)*COUNT(H7:H41)) ), "—")</f>
        <v>0.30469515246534951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30.44790351</v>
      </c>
      <c r="F46" s="16">
        <v>1.4633209899999999</v>
      </c>
      <c r="G46" s="14">
        <v>69.552096489999997</v>
      </c>
      <c r="H46" s="16">
        <v>1.4633209899999999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21.88120189</v>
      </c>
      <c r="F47" s="16">
        <v>2.0890117500000001</v>
      </c>
      <c r="G47" s="14">
        <v>78.11879811</v>
      </c>
      <c r="H47" s="16">
        <v>2.0890117500000001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20.9912171</v>
      </c>
      <c r="F48" s="16">
        <v>2.1347865000000001</v>
      </c>
      <c r="G48" s="14">
        <v>79.0087829</v>
      </c>
      <c r="H48" s="16">
        <v>2.1347865000000001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30.608325099999998</v>
      </c>
      <c r="F50" s="16">
        <v>2.3133309899999999</v>
      </c>
      <c r="G50" s="14">
        <v>69.391674899999998</v>
      </c>
      <c r="H50" s="16">
        <v>2.3133309899999999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21.842074589999999</v>
      </c>
      <c r="F51" s="16">
        <v>1.8971163</v>
      </c>
      <c r="G51" s="14">
        <v>78.157925410000004</v>
      </c>
      <c r="H51" s="16">
        <v>1.8971163</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14.248168939999999</v>
      </c>
      <c r="F52" s="16">
        <v>1.5589833799999999</v>
      </c>
      <c r="G52" s="14">
        <v>85.751831060000001</v>
      </c>
      <c r="H52" s="16">
        <v>1.5589833799999999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20.583670699999999</v>
      </c>
      <c r="F53" s="16">
        <v>2.1809159899999999</v>
      </c>
      <c r="G53" s="14">
        <v>79.416329300000001</v>
      </c>
      <c r="H53" s="16">
        <v>2.1809159899999999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6.7094923</v>
      </c>
      <c r="F56" s="16">
        <v>1.17494016</v>
      </c>
      <c r="G56" s="14">
        <v>93.290507700000006</v>
      </c>
      <c r="H56" s="16">
        <v>1.17494016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12.778532970000001</v>
      </c>
      <c r="F61" s="16">
        <v>1.6002171300000001</v>
      </c>
      <c r="G61" s="14">
        <v>87.221467029999999</v>
      </c>
      <c r="H61" s="16">
        <v>1.6002171300000001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8.4511832200000008</v>
      </c>
      <c r="F62" s="16">
        <v>1.44445285</v>
      </c>
      <c r="G62" s="14">
        <v>91.548816779999996</v>
      </c>
      <c r="H62" s="16">
        <v>1.44445285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24.161015890000002</v>
      </c>
      <c r="F66" s="16">
        <v>2.1571270999999999</v>
      </c>
      <c r="G66" s="14">
        <v>75.838984109999998</v>
      </c>
      <c r="H66" s="16">
        <v>2.1571270999999999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34.59580648</v>
      </c>
      <c r="F67" s="16">
        <v>2.49340933</v>
      </c>
      <c r="G67" s="14">
        <v>65.404193520000007</v>
      </c>
      <c r="H67" s="16">
        <v>2.49340933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15.154519280000001</v>
      </c>
      <c r="F70" s="16">
        <v>1.58072258</v>
      </c>
      <c r="G70" s="14">
        <v>84.845480719999998</v>
      </c>
      <c r="H70" s="16">
        <v>1.58072258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12.77909627</v>
      </c>
      <c r="F72" s="16">
        <v>1.4430314200000001</v>
      </c>
      <c r="G72" s="14">
        <v>87.220903730000003</v>
      </c>
      <c r="H72" s="16">
        <v>1.4430314200000001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31.536229580000001</v>
      </c>
      <c r="F73" s="16">
        <v>2.4651441699999999</v>
      </c>
      <c r="G73" s="14">
        <v>68.463770420000003</v>
      </c>
      <c r="H73" s="16">
        <v>2.4651441699999999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46.479929230000003</v>
      </c>
      <c r="F75" s="16">
        <v>2.02339234</v>
      </c>
      <c r="G75" s="14">
        <v>53.520070769999997</v>
      </c>
      <c r="H75" s="16">
        <v>2.02339234</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25.361120660000001</v>
      </c>
      <c r="F76" s="16">
        <v>1.4455360799999999</v>
      </c>
      <c r="G76" s="14">
        <v>74.638879340000003</v>
      </c>
      <c r="H76" s="16">
        <v>1.4455360799999999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22.3560175</v>
      </c>
      <c r="F77" s="16">
        <v>1.7620241999999999</v>
      </c>
      <c r="G77" s="14">
        <v>77.643982500000007</v>
      </c>
      <c r="H77" s="16">
        <v>1.7620241999999999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35.898312070000003</v>
      </c>
      <c r="F81" s="16">
        <v>2.0938732799999999</v>
      </c>
      <c r="G81" s="14">
        <v>64.101687929999997</v>
      </c>
      <c r="H81" s="16">
        <v>2.0938732799999999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22.756488189999999</v>
      </c>
      <c r="F7" s="16">
        <v>1.3991811599999999</v>
      </c>
      <c r="G7" s="14">
        <v>77.243511810000001</v>
      </c>
      <c r="H7" s="16">
        <v>1.3991811599999999</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16.21959485</v>
      </c>
      <c r="F8" s="16">
        <v>1.76387117</v>
      </c>
      <c r="G8" s="14">
        <v>83.780405150000007</v>
      </c>
      <c r="H8" s="16">
        <v>1.76387117</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22.218772940000001</v>
      </c>
      <c r="F9" s="16">
        <v>1.9221169499999999</v>
      </c>
      <c r="G9" s="14">
        <v>77.781227060000006</v>
      </c>
      <c r="H9" s="16">
        <v>1.9221169499999999</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20.93966099</v>
      </c>
      <c r="F10" s="16">
        <v>1.3644704400000001</v>
      </c>
      <c r="G10" s="14">
        <v>79.060339010000007</v>
      </c>
      <c r="H10" s="16">
        <v>1.3644704400000001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34.268967410000002</v>
      </c>
      <c r="F11" s="16">
        <v>2.1918014100000001</v>
      </c>
      <c r="G11" s="14">
        <v>65.731032589999998</v>
      </c>
      <c r="H11" s="16">
        <v>2.1918014100000001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17.87453855</v>
      </c>
      <c r="F12" s="16">
        <v>1.82959871</v>
      </c>
      <c r="G12" s="14">
        <v>82.125461450000003</v>
      </c>
      <c r="H12" s="16">
        <v>1.82959871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18.547461909999999</v>
      </c>
      <c r="F13" s="16">
        <v>1.78953699</v>
      </c>
      <c r="G13" s="14">
        <v>81.452538090000004</v>
      </c>
      <c r="H13" s="16">
        <v>1.78953699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8.9094170100000003</v>
      </c>
      <c r="F14" s="16">
        <v>1.4646471400000001</v>
      </c>
      <c r="G14" s="14">
        <v>91.090582990000001</v>
      </c>
      <c r="H14" s="16">
        <v>1.4646471400000001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13.40330472</v>
      </c>
      <c r="F15" s="16">
        <v>1.70074674</v>
      </c>
      <c r="G15" s="14">
        <v>86.596695280000006</v>
      </c>
      <c r="H15" s="16">
        <v>1.70074674</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27.829098460000001</v>
      </c>
      <c r="F16" s="16">
        <v>1.95516486</v>
      </c>
      <c r="G16" s="14">
        <v>72.170901540000003</v>
      </c>
      <c r="H16" s="16">
        <v>1.95516486</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20.526503859999998</v>
      </c>
      <c r="F17" s="16">
        <v>1.75551144</v>
      </c>
      <c r="G17" s="14">
        <v>79.473496139999995</v>
      </c>
      <c r="H17" s="16">
        <v>1.75551144</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26.750944929999999</v>
      </c>
      <c r="F18" s="16">
        <v>2.12285236</v>
      </c>
      <c r="G18" s="14">
        <v>73.249055069999997</v>
      </c>
      <c r="H18" s="16">
        <v>2.12285236</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28.690873249999999</v>
      </c>
      <c r="F19" s="16">
        <v>2.2383261399999999</v>
      </c>
      <c r="G19" s="14">
        <v>71.309126750000004</v>
      </c>
      <c r="H19" s="16">
        <v>2.2383261399999999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16.07385438</v>
      </c>
      <c r="F20" s="16">
        <v>2.3418113699999998</v>
      </c>
      <c r="G20" s="14">
        <v>83.92614562</v>
      </c>
      <c r="H20" s="16">
        <v>2.3418113699999998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25.509849079999999</v>
      </c>
      <c r="F22" s="16">
        <v>2.09444535</v>
      </c>
      <c r="G22" s="14">
        <v>74.490150920000005</v>
      </c>
      <c r="H22" s="16">
        <v>2.09444535</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20.060611189999999</v>
      </c>
      <c r="F23" s="16">
        <v>2.0625512499999998</v>
      </c>
      <c r="G23" s="14">
        <v>79.939388809999997</v>
      </c>
      <c r="H23" s="16">
        <v>2.0625512499999998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22.663789269999999</v>
      </c>
      <c r="F24" s="16">
        <v>1.66878905</v>
      </c>
      <c r="G24" s="14">
        <v>77.336210730000005</v>
      </c>
      <c r="H24" s="16">
        <v>1.66878905</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21.143741769999998</v>
      </c>
      <c r="F25" s="16">
        <v>1.7814085900000001</v>
      </c>
      <c r="G25" s="14">
        <v>78.856258229999995</v>
      </c>
      <c r="H25" s="16">
        <v>1.7814085900000001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16.691699409999998</v>
      </c>
      <c r="F26" s="16">
        <v>2.07651757</v>
      </c>
      <c r="G26" s="14">
        <v>83.308300590000002</v>
      </c>
      <c r="H26" s="16">
        <v>2.07651757</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25.920179600000001</v>
      </c>
      <c r="F27" s="16">
        <v>1.82127167</v>
      </c>
      <c r="G27" s="14">
        <v>74.079820400000003</v>
      </c>
      <c r="H27" s="16">
        <v>1.82127167</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29.307766869999998</v>
      </c>
      <c r="F28" s="16">
        <v>2.3028825999999998</v>
      </c>
      <c r="G28" s="14">
        <v>70.692233130000005</v>
      </c>
      <c r="H28" s="16">
        <v>2.3028825999999998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20.25745878</v>
      </c>
      <c r="F29" s="16">
        <v>1.88902006</v>
      </c>
      <c r="G29" s="14">
        <v>79.742541220000007</v>
      </c>
      <c r="H29" s="16">
        <v>1.88902006</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23.190891310000001</v>
      </c>
      <c r="F30" s="16">
        <v>1.79897021</v>
      </c>
      <c r="G30" s="14">
        <v>76.809108690000002</v>
      </c>
      <c r="H30" s="16">
        <v>1.79897021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15.631901060000001</v>
      </c>
      <c r="F31" s="16">
        <v>1.7614043399999999</v>
      </c>
      <c r="G31" s="14">
        <v>84.368098939999996</v>
      </c>
      <c r="H31" s="16">
        <v>1.7614043399999999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13.86616948</v>
      </c>
      <c r="F33" s="16">
        <v>1.6240076999999999</v>
      </c>
      <c r="G33" s="14">
        <v>86.133830520000004</v>
      </c>
      <c r="H33" s="16">
        <v>1.6240076999999999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21.068134050000001</v>
      </c>
      <c r="F34" s="16">
        <v>2.1206369899999999</v>
      </c>
      <c r="G34" s="14">
        <v>78.931865950000002</v>
      </c>
      <c r="H34" s="16">
        <v>2.1206369899999999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14.56330926</v>
      </c>
      <c r="F35" s="16">
        <v>1.81062214</v>
      </c>
      <c r="G35" s="14">
        <v>85.436690740000003</v>
      </c>
      <c r="H35" s="16">
        <v>1.81062214</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24.789997209999999</v>
      </c>
      <c r="F36" s="16">
        <v>1.7425935699999999</v>
      </c>
      <c r="G36" s="14">
        <v>75.210002790000004</v>
      </c>
      <c r="H36" s="16">
        <v>1.7425935699999999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12.600759650000001</v>
      </c>
      <c r="F37" s="16">
        <v>1.5610046399999999</v>
      </c>
      <c r="G37" s="14">
        <v>87.399240349999999</v>
      </c>
      <c r="H37" s="16">
        <v>1.5610046399999999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35.247305359999999</v>
      </c>
      <c r="F39" s="16">
        <v>2.6004407399999998</v>
      </c>
      <c r="G39" s="14">
        <v>64.752694640000001</v>
      </c>
      <c r="H39" s="16">
        <v>2.6004407399999998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23.74990421</v>
      </c>
      <c r="F40" s="16">
        <v>1.8824018600000001</v>
      </c>
      <c r="G40" s="14">
        <v>76.250095790000003</v>
      </c>
      <c r="H40" s="16">
        <v>1.8824018600000001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22.30120114</v>
      </c>
      <c r="F41" s="16">
        <v>1.9252104699999999</v>
      </c>
      <c r="G41" s="14">
        <v>77.698798859999997</v>
      </c>
      <c r="H41" s="16">
        <v>1.9252104699999999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21.361692192187501</v>
      </c>
      <c r="F42" s="16">
        <f>IF(COUNT(F7:F41) &gt; 0, SQRT(SUMSQ(F7:F41)/(COUNT(F7:F41)*COUNT(F7:F41)) ), "—")</f>
        <v>0.33694829971363988</v>
      </c>
      <c r="G42" s="14">
        <f>IF(COUNT(G7:G41) &gt; 0, AVERAGE(G7:G41), "—")</f>
        <v>78.63830780781251</v>
      </c>
      <c r="H42" s="16">
        <f>IF(COUNT(H7:H41) &gt; 0, SQRT(SUMSQ(H7:H41)/(COUNT(H7:H41)*COUNT(H7:H41)) ), "—")</f>
        <v>0.33694829971363988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32.85345366</v>
      </c>
      <c r="F46" s="16">
        <v>1.31099385</v>
      </c>
      <c r="G46" s="14">
        <v>67.14654634</v>
      </c>
      <c r="H46" s="16">
        <v>1.31099385</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29.388938549999999</v>
      </c>
      <c r="F47" s="16">
        <v>2.2747735900000001</v>
      </c>
      <c r="G47" s="14">
        <v>70.611061449999994</v>
      </c>
      <c r="H47" s="16">
        <v>2.2747735900000001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27.478428730000001</v>
      </c>
      <c r="F48" s="16">
        <v>2.2006698</v>
      </c>
      <c r="G48" s="14">
        <v>72.521571269999995</v>
      </c>
      <c r="H48" s="16">
        <v>2.2006698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31.90264298</v>
      </c>
      <c r="F50" s="16">
        <v>2.0248780800000001</v>
      </c>
      <c r="G50" s="14">
        <v>68.097357020000004</v>
      </c>
      <c r="H50" s="16">
        <v>2.0248780800000001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27.414897539999998</v>
      </c>
      <c r="F51" s="16">
        <v>1.8892112700000001</v>
      </c>
      <c r="G51" s="14">
        <v>72.585102460000002</v>
      </c>
      <c r="H51" s="16">
        <v>1.8892112700000001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16.717439150000001</v>
      </c>
      <c r="F52" s="16">
        <v>1.93635358</v>
      </c>
      <c r="G52" s="14">
        <v>83.282560849999996</v>
      </c>
      <c r="H52" s="16">
        <v>1.93635358</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30.4076998</v>
      </c>
      <c r="F53" s="16">
        <v>2.3038173</v>
      </c>
      <c r="G53" s="14">
        <v>69.592300199999997</v>
      </c>
      <c r="H53" s="16">
        <v>2.3038173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24.163787809999999</v>
      </c>
      <c r="F56" s="16">
        <v>2.3421372200000001</v>
      </c>
      <c r="G56" s="14">
        <v>75.836212189999998</v>
      </c>
      <c r="H56" s="16">
        <v>2.3421372200000001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18.51907636</v>
      </c>
      <c r="F61" s="16">
        <v>1.8093669299999999</v>
      </c>
      <c r="G61" s="14">
        <v>81.48092364</v>
      </c>
      <c r="H61" s="16">
        <v>1.8093669299999999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17.658933820000001</v>
      </c>
      <c r="F62" s="16">
        <v>1.9412503999999999</v>
      </c>
      <c r="G62" s="14">
        <v>82.341066179999999</v>
      </c>
      <c r="H62" s="16">
        <v>1.9412503999999999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33.145018700000001</v>
      </c>
      <c r="F66" s="16">
        <v>2.1107017099999998</v>
      </c>
      <c r="G66" s="14">
        <v>66.854981300000006</v>
      </c>
      <c r="H66" s="16">
        <v>2.1107017099999998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44.23269294</v>
      </c>
      <c r="F67" s="16">
        <v>2.3026488399999998</v>
      </c>
      <c r="G67" s="14">
        <v>55.76730706</v>
      </c>
      <c r="H67" s="16">
        <v>2.3026488399999998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23.799212390000001</v>
      </c>
      <c r="F70" s="16">
        <v>2.0392881100000002</v>
      </c>
      <c r="G70" s="14">
        <v>76.200787610000006</v>
      </c>
      <c r="H70" s="16">
        <v>2.0392881100000002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14.663050950000001</v>
      </c>
      <c r="F72" s="16">
        <v>1.4795292600000001</v>
      </c>
      <c r="G72" s="14">
        <v>85.336949050000001</v>
      </c>
      <c r="H72" s="16">
        <v>1.4795292600000001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40.568856779999997</v>
      </c>
      <c r="F73" s="16">
        <v>2.4994366100000001</v>
      </c>
      <c r="G73" s="14">
        <v>59.431143220000003</v>
      </c>
      <c r="H73" s="16">
        <v>2.4994366100000001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51.205435999999999</v>
      </c>
      <c r="F75" s="16">
        <v>2.3971504399999999</v>
      </c>
      <c r="G75" s="14">
        <v>48.794564000000001</v>
      </c>
      <c r="H75" s="16">
        <v>2.3971504399999999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31.089067100000001</v>
      </c>
      <c r="F76" s="16">
        <v>1.74963812</v>
      </c>
      <c r="G76" s="14">
        <v>68.910932900000006</v>
      </c>
      <c r="H76" s="16">
        <v>1.74963812</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26.658167450000001</v>
      </c>
      <c r="F77" s="16">
        <v>2.2177242399999999</v>
      </c>
      <c r="G77" s="14">
        <v>73.341832550000007</v>
      </c>
      <c r="H77" s="16">
        <v>2.2177242399999999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44.092800050000001</v>
      </c>
      <c r="F81" s="16">
        <v>2.3856778300000001</v>
      </c>
      <c r="G81" s="14">
        <v>55.907199949999999</v>
      </c>
      <c r="H81" s="16">
        <v>2.3856778300000001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(6005/B7*100)</f>
        <v>83.83358927823538</v>
      </c>
      <c r="D7" s="15">
        <v>1158</v>
      </c>
      <c r="E7" s="14">
        <v>19.447001100000001</v>
      </c>
      <c r="F7" s="16">
        <v>1.2940371799999999</v>
      </c>
      <c r="G7" s="14">
        <v>80.552998900000006</v>
      </c>
      <c r="H7" s="16">
        <v>1.2940371799999999</v>
      </c>
      <c r="I7" s="14" t="s">
        <v>139</v>
      </c>
      <c r="J7" s="16" t="s">
        <v>139</v>
      </c>
      <c r="K7" s="14">
        <v>0</v>
      </c>
      <c r="L7" s="16">
        <v>0</v>
      </c>
      <c r="M7" s="14">
        <v>0</v>
      </c>
      <c r="N7" s="16">
        <v>0</v>
      </c>
      <c r="O7" s="14">
        <v>0</v>
      </c>
      <c r="P7" s="16">
        <v>0</v>
      </c>
      <c r="Q7" s="14">
        <v>0</v>
      </c>
      <c r="R7" s="16">
        <v>0</v>
      </c>
    </row>
    <row r="8" spans="1:18" x14ac:dyDescent="0.25">
      <c r="A8" s="11" t="s">
        <v>140</v>
      </c>
      <c r="B8" s="13">
        <v>3443</v>
      </c>
      <c r="C8" s="14">
        <f>(2880/B8*100)</f>
        <v>83.647981411559698</v>
      </c>
      <c r="D8" s="15">
        <v>563</v>
      </c>
      <c r="E8" s="14">
        <v>22.489702520000002</v>
      </c>
      <c r="F8" s="16">
        <v>1.6522119399999999</v>
      </c>
      <c r="G8" s="14">
        <v>77.510297480000006</v>
      </c>
      <c r="H8" s="16">
        <v>1.6522119399999999</v>
      </c>
      <c r="I8" s="14" t="s">
        <v>139</v>
      </c>
      <c r="J8" s="16" t="s">
        <v>139</v>
      </c>
      <c r="K8" s="14">
        <v>0</v>
      </c>
      <c r="L8" s="16">
        <v>0</v>
      </c>
      <c r="M8" s="14">
        <v>0</v>
      </c>
      <c r="N8" s="16">
        <v>0</v>
      </c>
      <c r="O8" s="14">
        <v>0</v>
      </c>
      <c r="P8" s="16">
        <v>0</v>
      </c>
      <c r="Q8" s="14">
        <v>0</v>
      </c>
      <c r="R8" s="16">
        <v>0</v>
      </c>
    </row>
    <row r="9" spans="1:18" x14ac:dyDescent="0.25">
      <c r="A9" s="11" t="s">
        <v>141</v>
      </c>
      <c r="B9" s="13">
        <v>4752</v>
      </c>
      <c r="C9" s="14">
        <f>(4002/B9*100)</f>
        <v>84.217171717171709</v>
      </c>
      <c r="D9" s="15">
        <v>750</v>
      </c>
      <c r="E9" s="14">
        <v>17.596196920000001</v>
      </c>
      <c r="F9" s="16">
        <v>1.4474823400000001</v>
      </c>
      <c r="G9" s="14">
        <v>82.403803080000003</v>
      </c>
      <c r="H9" s="16">
        <v>1.4474823400000001</v>
      </c>
      <c r="I9" s="14" t="s">
        <v>139</v>
      </c>
      <c r="J9" s="16" t="s">
        <v>139</v>
      </c>
      <c r="K9" s="14">
        <v>0</v>
      </c>
      <c r="L9" s="16">
        <v>0</v>
      </c>
      <c r="M9" s="14">
        <v>0</v>
      </c>
      <c r="N9" s="16">
        <v>0</v>
      </c>
      <c r="O9" s="14">
        <v>0</v>
      </c>
      <c r="P9" s="16">
        <v>0</v>
      </c>
      <c r="Q9" s="14">
        <v>0</v>
      </c>
      <c r="R9" s="16">
        <v>0</v>
      </c>
    </row>
    <row r="10" spans="1:18" x14ac:dyDescent="0.25">
      <c r="A10" s="11" t="s">
        <v>142</v>
      </c>
      <c r="B10" s="13">
        <v>10022</v>
      </c>
      <c r="C10" s="14">
        <f>(8340/B10*100)</f>
        <v>83.216922769906205</v>
      </c>
      <c r="D10" s="15">
        <v>1682</v>
      </c>
      <c r="E10" s="14">
        <v>18.944404070000001</v>
      </c>
      <c r="F10" s="16">
        <v>1.26163102</v>
      </c>
      <c r="G10" s="14">
        <v>81.055595929999996</v>
      </c>
      <c r="H10" s="16">
        <v>1.26163102</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(2952/B11*100)</f>
        <v>84.342857142857142</v>
      </c>
      <c r="D11" s="15">
        <v>548</v>
      </c>
      <c r="E11" s="14">
        <v>29.377923410000001</v>
      </c>
      <c r="F11" s="16">
        <v>2.55312765</v>
      </c>
      <c r="G11" s="14">
        <v>70.622076590000006</v>
      </c>
      <c r="H11" s="16">
        <v>2.55312765</v>
      </c>
      <c r="I11" s="14" t="s">
        <v>139</v>
      </c>
      <c r="J11" s="16" t="s">
        <v>139</v>
      </c>
      <c r="K11" s="14">
        <v>0</v>
      </c>
      <c r="L11" s="16">
        <v>0</v>
      </c>
      <c r="M11" s="14">
        <v>0</v>
      </c>
      <c r="N11" s="16">
        <v>0</v>
      </c>
      <c r="O11" s="14">
        <v>0</v>
      </c>
      <c r="P11" s="16">
        <v>0</v>
      </c>
      <c r="Q11" s="14">
        <v>0</v>
      </c>
      <c r="R11" s="16">
        <v>0</v>
      </c>
    </row>
    <row r="12" spans="1:18" x14ac:dyDescent="0.25">
      <c r="A12" s="11" t="s">
        <v>144</v>
      </c>
      <c r="B12" s="13">
        <v>3422</v>
      </c>
      <c r="C12" s="14">
        <f>(2857/B12*100)</f>
        <v>83.489187609585031</v>
      </c>
      <c r="D12" s="15">
        <v>565</v>
      </c>
      <c r="E12" s="14">
        <v>18.54847105</v>
      </c>
      <c r="F12" s="16">
        <v>1.9401803500000001</v>
      </c>
      <c r="G12" s="14">
        <v>81.451528949999997</v>
      </c>
      <c r="H12" s="16">
        <v>1.9401803500000001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(3037/B13*100)</f>
        <v>84.314269850083292</v>
      </c>
      <c r="D13" s="15">
        <v>565</v>
      </c>
      <c r="E13" s="14">
        <v>18.068989800000001</v>
      </c>
      <c r="F13" s="16">
        <v>1.71114834</v>
      </c>
      <c r="G13" s="14">
        <v>81.931010200000003</v>
      </c>
      <c r="H13" s="16">
        <v>1.71114834</v>
      </c>
      <c r="I13" s="14" t="s">
        <v>139</v>
      </c>
      <c r="J13" s="16" t="s">
        <v>139</v>
      </c>
      <c r="K13" s="14">
        <v>0</v>
      </c>
      <c r="L13" s="16">
        <v>0</v>
      </c>
      <c r="M13" s="14">
        <v>0</v>
      </c>
      <c r="N13" s="16">
        <v>0</v>
      </c>
      <c r="O13" s="14">
        <v>0</v>
      </c>
      <c r="P13" s="16">
        <v>0</v>
      </c>
      <c r="Q13" s="14">
        <v>0</v>
      </c>
      <c r="R13" s="16">
        <v>0</v>
      </c>
    </row>
    <row r="14" spans="1:18" x14ac:dyDescent="0.25">
      <c r="A14" s="11" t="s">
        <v>146</v>
      </c>
      <c r="B14" s="13">
        <v>2788</v>
      </c>
      <c r="C14" s="14">
        <f>(2321/B14*100)</f>
        <v>83.249641319942612</v>
      </c>
      <c r="D14" s="15">
        <v>467</v>
      </c>
      <c r="E14" s="14">
        <v>13.807631130000001</v>
      </c>
      <c r="F14" s="16">
        <v>1.7261476</v>
      </c>
      <c r="G14" s="14">
        <v>86.192368869999996</v>
      </c>
      <c r="H14" s="16">
        <v>1.7261476</v>
      </c>
      <c r="I14" s="14" t="s">
        <v>139</v>
      </c>
      <c r="J14" s="16" t="s">
        <v>139</v>
      </c>
      <c r="K14" s="14">
        <v>0</v>
      </c>
      <c r="L14" s="16">
        <v>0</v>
      </c>
      <c r="M14" s="14">
        <v>0</v>
      </c>
      <c r="N14" s="16">
        <v>0</v>
      </c>
      <c r="O14" s="14">
        <v>0</v>
      </c>
      <c r="P14" s="16">
        <v>0</v>
      </c>
      <c r="Q14" s="14">
        <v>0</v>
      </c>
      <c r="R14" s="16">
        <v>0</v>
      </c>
    </row>
    <row r="15" spans="1:18" x14ac:dyDescent="0.25">
      <c r="A15" s="11" t="s">
        <v>147</v>
      </c>
      <c r="B15" s="13">
        <v>2863</v>
      </c>
      <c r="C15" s="14">
        <f>(2388/B15*100)</f>
        <v>83.409011526370932</v>
      </c>
      <c r="D15" s="15">
        <v>475</v>
      </c>
      <c r="E15" s="14">
        <v>22.43631603</v>
      </c>
      <c r="F15" s="16">
        <v>1.8128627100000001</v>
      </c>
      <c r="G15" s="14">
        <v>77.56368397</v>
      </c>
      <c r="H15" s="16">
        <v>1.8128627100000001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(2581/B16*100)</f>
        <v>82.96367727418837</v>
      </c>
      <c r="D16" s="15">
        <v>530</v>
      </c>
      <c r="E16" s="14">
        <v>20.229056029999999</v>
      </c>
      <c r="F16" s="16">
        <v>1.6219459599999999</v>
      </c>
      <c r="G16" s="14">
        <v>79.770943970000005</v>
      </c>
      <c r="H16" s="16">
        <v>1.6219459599999999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(2659/B17*100)</f>
        <v>83.171723490772592</v>
      </c>
      <c r="D17" s="15">
        <v>538</v>
      </c>
      <c r="E17" s="14">
        <v>18.244177530000002</v>
      </c>
      <c r="F17" s="16">
        <v>1.5912587600000001</v>
      </c>
      <c r="G17" s="14">
        <v>81.755822469999998</v>
      </c>
      <c r="H17" s="16">
        <v>1.5912587600000001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(2285/B18*100)</f>
        <v>84.441980783444194</v>
      </c>
      <c r="D18" s="15">
        <v>421</v>
      </c>
      <c r="E18" s="14">
        <v>27.653159200000001</v>
      </c>
      <c r="F18" s="16">
        <v>2.5881918499999998</v>
      </c>
      <c r="G18" s="14">
        <v>72.346840799999995</v>
      </c>
      <c r="H18" s="16">
        <v>2.5881918499999998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(2386/B19*100)</f>
        <v>83.719298245614041</v>
      </c>
      <c r="D19" s="15">
        <v>464</v>
      </c>
      <c r="E19" s="14">
        <v>33.761980710000003</v>
      </c>
      <c r="F19" s="16">
        <v>2.5319145000000001</v>
      </c>
      <c r="G19" s="14">
        <v>66.238019289999997</v>
      </c>
      <c r="H19" s="16">
        <v>2.5319145000000001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(1465/B20*100)</f>
        <v>84.147041929925322</v>
      </c>
      <c r="D20" s="15">
        <v>276</v>
      </c>
      <c r="E20" s="14">
        <v>16.27626102</v>
      </c>
      <c r="F20" s="16">
        <v>2.25745372</v>
      </c>
      <c r="G20" s="14">
        <v>83.723738979999993</v>
      </c>
      <c r="H20" s="16">
        <v>2.25745372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(3131/B22*100)</f>
        <v>85.383146986637584</v>
      </c>
      <c r="D22" s="15">
        <v>536</v>
      </c>
      <c r="E22" s="14">
        <v>30.310407260000002</v>
      </c>
      <c r="F22" s="16">
        <v>1.9736060900000001</v>
      </c>
      <c r="G22" s="14">
        <v>69.689592739999995</v>
      </c>
      <c r="H22" s="16">
        <v>1.9736060900000001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18.282273780000001</v>
      </c>
      <c r="F23" s="16">
        <v>1.7155153299999999</v>
      </c>
      <c r="G23" s="14">
        <v>81.717726220000003</v>
      </c>
      <c r="H23" s="16">
        <v>1.7155153299999999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29.867019920000001</v>
      </c>
      <c r="F24" s="16">
        <v>1.671135</v>
      </c>
      <c r="G24" s="14">
        <v>70.132980079999996</v>
      </c>
      <c r="H24" s="16">
        <v>1.671135</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(2200/B25*100)</f>
        <v>82.427875608842257</v>
      </c>
      <c r="D25" s="15">
        <v>469</v>
      </c>
      <c r="E25" s="14">
        <v>36.721000259999997</v>
      </c>
      <c r="F25" s="16">
        <v>2.0715206099999999</v>
      </c>
      <c r="G25" s="14">
        <v>63.278999740000003</v>
      </c>
      <c r="H25" s="16">
        <v>2.0715206099999999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(2007/B26*100)</f>
        <v>82.96816866473749</v>
      </c>
      <c r="D26" s="15">
        <v>412</v>
      </c>
      <c r="E26" s="14">
        <v>22.126878430000001</v>
      </c>
      <c r="F26" s="16">
        <v>1.95370526</v>
      </c>
      <c r="G26" s="14">
        <v>77.873121569999995</v>
      </c>
      <c r="H26" s="16">
        <v>1.95370526</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24.536864260000002</v>
      </c>
      <c r="F27" s="16">
        <v>2.1407267700000001</v>
      </c>
      <c r="G27" s="14">
        <v>75.463135739999998</v>
      </c>
      <c r="H27" s="16">
        <v>2.1407267700000001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(3225/B28*100)</f>
        <v>84.801472521693398</v>
      </c>
      <c r="D28" s="15">
        <v>578</v>
      </c>
      <c r="E28" s="14">
        <v>36.94454374</v>
      </c>
      <c r="F28" s="16">
        <v>2.3201954300000001</v>
      </c>
      <c r="G28" s="14">
        <v>63.05545626</v>
      </c>
      <c r="H28" s="16">
        <v>2.3201954300000001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16.194093089999999</v>
      </c>
      <c r="F29" s="16">
        <v>1.6636658900000001</v>
      </c>
      <c r="G29" s="14">
        <v>83.805906910000004</v>
      </c>
      <c r="H29" s="16">
        <v>1.6636658900000001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(1904/B30*100)</f>
        <v>84.359769605671246</v>
      </c>
      <c r="D30" s="15">
        <v>353</v>
      </c>
      <c r="E30" s="14">
        <v>19.63960655</v>
      </c>
      <c r="F30" s="16">
        <v>1.82982935</v>
      </c>
      <c r="G30" s="14">
        <v>80.360393450000004</v>
      </c>
      <c r="H30" s="16">
        <v>1.82982935</v>
      </c>
      <c r="I30" s="14" t="s">
        <v>139</v>
      </c>
      <c r="J30" s="16" t="s">
        <v>139</v>
      </c>
      <c r="K30" s="14">
        <v>0</v>
      </c>
      <c r="L30" s="16">
        <v>0</v>
      </c>
      <c r="M30" s="14">
        <v>0</v>
      </c>
      <c r="N30" s="16">
        <v>0</v>
      </c>
      <c r="O30" s="14">
        <v>0</v>
      </c>
      <c r="P30" s="16">
        <v>0</v>
      </c>
      <c r="Q30" s="14">
        <v>0</v>
      </c>
      <c r="R30" s="16">
        <v>0</v>
      </c>
    </row>
    <row r="31" spans="1:18" x14ac:dyDescent="0.25">
      <c r="A31" s="11" t="s">
        <v>164</v>
      </c>
      <c r="B31" s="13">
        <v>2706</v>
      </c>
      <c r="C31" s="14">
        <f>(2231/B31*100)</f>
        <v>82.446415373244648</v>
      </c>
      <c r="D31" s="15">
        <v>475</v>
      </c>
      <c r="E31" s="14">
        <v>18.777298330000001</v>
      </c>
      <c r="F31" s="16">
        <v>1.84382431</v>
      </c>
      <c r="G31" s="14">
        <v>81.222701670000006</v>
      </c>
      <c r="H31" s="16">
        <v>1.84382431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(3056/B33*100)</f>
        <v>83.703095042454123</v>
      </c>
      <c r="D33" s="15">
        <v>595</v>
      </c>
      <c r="E33" s="14">
        <v>18.50436294</v>
      </c>
      <c r="F33" s="16">
        <v>1.7414447200000001</v>
      </c>
      <c r="G33" s="14">
        <v>81.495637060000007</v>
      </c>
      <c r="H33" s="16">
        <v>1.7414447200000001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(2587/B34*100)</f>
        <v>85.238879736408563</v>
      </c>
      <c r="D34" s="15">
        <v>448</v>
      </c>
      <c r="E34" s="14">
        <v>23.331851279999999</v>
      </c>
      <c r="F34" s="16">
        <v>2.2100031200000001</v>
      </c>
      <c r="G34" s="14">
        <v>76.668148720000005</v>
      </c>
      <c r="H34" s="16">
        <v>2.2100031200000001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(2419/B35*100)</f>
        <v>83.385039641502928</v>
      </c>
      <c r="D35" s="15">
        <v>482</v>
      </c>
      <c r="E35" s="14">
        <v>18.909264520000001</v>
      </c>
      <c r="F35" s="16">
        <v>2.1725484900000001</v>
      </c>
      <c r="G35" s="14">
        <v>81.090735480000006</v>
      </c>
      <c r="H35" s="16">
        <v>2.1725484900000001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(2844/B36*100)</f>
        <v>83.548766157461813</v>
      </c>
      <c r="D36" s="15">
        <v>560</v>
      </c>
      <c r="E36" s="14">
        <v>20.59821603</v>
      </c>
      <c r="F36" s="16">
        <v>1.79461413</v>
      </c>
      <c r="G36" s="14">
        <v>79.401783969999997</v>
      </c>
      <c r="H36" s="16">
        <v>1.79461413</v>
      </c>
      <c r="I36" s="14" t="s">
        <v>139</v>
      </c>
      <c r="J36" s="16" t="s">
        <v>139</v>
      </c>
      <c r="K36" s="14">
        <v>0</v>
      </c>
      <c r="L36" s="16">
        <v>0</v>
      </c>
      <c r="M36" s="14">
        <v>0</v>
      </c>
      <c r="N36" s="16">
        <v>0</v>
      </c>
      <c r="O36" s="14">
        <v>0</v>
      </c>
      <c r="P36" s="16">
        <v>0</v>
      </c>
      <c r="Q36" s="14">
        <v>0</v>
      </c>
      <c r="R36" s="16">
        <v>0</v>
      </c>
    </row>
    <row r="37" spans="1:18" x14ac:dyDescent="0.25">
      <c r="A37" s="11" t="s">
        <v>170</v>
      </c>
      <c r="B37" s="13">
        <v>2731</v>
      </c>
      <c r="C37" s="14">
        <f>(2294/B37*100)</f>
        <v>83.998535335042106</v>
      </c>
      <c r="D37" s="15">
        <v>437</v>
      </c>
      <c r="E37" s="14">
        <v>16.716839929999999</v>
      </c>
      <c r="F37" s="16">
        <v>1.6256622999999999</v>
      </c>
      <c r="G37" s="14">
        <v>83.283160069999994</v>
      </c>
      <c r="H37" s="16">
        <v>1.6256622999999999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50.441688169999999</v>
      </c>
      <c r="F39" s="16">
        <v>2.6367244699999999</v>
      </c>
      <c r="G39" s="14">
        <v>49.558311830000001</v>
      </c>
      <c r="H39" s="16">
        <v>2.6367244699999999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(5718/B40*100)</f>
        <v>82.606183184050849</v>
      </c>
      <c r="D40" s="15">
        <v>1204</v>
      </c>
      <c r="E40" s="14">
        <v>24.47026138</v>
      </c>
      <c r="F40" s="16">
        <v>1.82357601</v>
      </c>
      <c r="G40" s="14">
        <v>75.529738620000003</v>
      </c>
      <c r="H40" s="16">
        <v>1.82357601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(2400/B41*100)</f>
        <v>84.092501751927117</v>
      </c>
      <c r="D41" s="15">
        <v>454</v>
      </c>
      <c r="E41" s="14">
        <v>18.32115967</v>
      </c>
      <c r="F41" s="16">
        <v>1.68836499</v>
      </c>
      <c r="G41" s="14">
        <v>81.67884033</v>
      </c>
      <c r="H41" s="16">
        <v>1.68836499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83.651712755824292</v>
      </c>
      <c r="D42" s="15">
        <f>IF(COUNT(D7:D41) &gt; 0, AVERAGE(D7:D41), "—")</f>
        <v>591.625</v>
      </c>
      <c r="E42" s="14">
        <f>IF(COUNT(E7:E41) &gt; 0, AVERAGE(E7:E41), "—")</f>
        <v>23.174215626875004</v>
      </c>
      <c r="F42" s="16">
        <f>IF(COUNT(F7:F41) &gt; 0, SQRT(SUMSQ(F7:F41)/(COUNT(F7:F41)*COUNT(F7:F41)) ), "—")</f>
        <v>0.34202053934632787</v>
      </c>
      <c r="G42" s="14">
        <f>IF(COUNT(G7:G41) &gt; 0, AVERAGE(G7:G41), "—")</f>
        <v>76.825784373125018</v>
      </c>
      <c r="H42" s="16">
        <f>IF(COUNT(H7:H41) &gt; 0, SQRT(SUMSQ(H7:H41)/(COUNT(H7:H41)*COUNT(H7:H41)) ), "—")</f>
        <v>0.34202053934632787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(10577/B46*100)</f>
        <v>87.608713658576988</v>
      </c>
      <c r="D46" s="15">
        <v>1496</v>
      </c>
      <c r="E46" s="14">
        <v>40.309958160000001</v>
      </c>
      <c r="F46" s="16">
        <v>1.51246993</v>
      </c>
      <c r="G46" s="14">
        <v>59.690041839999999</v>
      </c>
      <c r="H46" s="16">
        <v>1.51246993</v>
      </c>
      <c r="I46" s="14" t="s">
        <v>139</v>
      </c>
      <c r="J46" s="16" t="s">
        <v>139</v>
      </c>
      <c r="K46" s="14">
        <v>0</v>
      </c>
      <c r="L46" s="16">
        <v>0</v>
      </c>
      <c r="M46" s="14">
        <v>0</v>
      </c>
      <c r="N46" s="16">
        <v>0</v>
      </c>
      <c r="O46" s="14">
        <v>0</v>
      </c>
      <c r="P46" s="16">
        <v>0</v>
      </c>
      <c r="Q46" s="14">
        <v>0</v>
      </c>
      <c r="R46" s="16">
        <v>0</v>
      </c>
    </row>
    <row r="47" spans="1:18" x14ac:dyDescent="0.25">
      <c r="A47" s="11" t="s">
        <v>180</v>
      </c>
      <c r="B47" s="13">
        <v>2823</v>
      </c>
      <c r="C47" s="14">
        <f>(2369/B47*100)</f>
        <v>83.917817924194111</v>
      </c>
      <c r="D47" s="15">
        <v>454</v>
      </c>
      <c r="E47" s="14">
        <v>32.648297800000002</v>
      </c>
      <c r="F47" s="16">
        <v>2.6030925300000001</v>
      </c>
      <c r="G47" s="14">
        <v>67.351702200000005</v>
      </c>
      <c r="H47" s="16">
        <v>2.6030925300000001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(3893/B48*100)</f>
        <v>83.148227253310552</v>
      </c>
      <c r="D48" s="15">
        <v>789</v>
      </c>
      <c r="E48" s="14">
        <v>35.246083609999999</v>
      </c>
      <c r="F48" s="16">
        <v>2.1020623500000002</v>
      </c>
      <c r="G48" s="14">
        <v>64.753916390000001</v>
      </c>
      <c r="H48" s="16">
        <v>2.1020623500000002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(5213/B50*100)</f>
        <v>84.654108476778177</v>
      </c>
      <c r="D50" s="15">
        <v>945</v>
      </c>
      <c r="E50" s="14">
        <v>43.327911759999999</v>
      </c>
      <c r="F50" s="16">
        <v>2.3129301400000002</v>
      </c>
      <c r="G50" s="14">
        <v>56.672088240000001</v>
      </c>
      <c r="H50" s="16">
        <v>2.3129301400000002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(3008/B51*100)</f>
        <v>86.090440755581</v>
      </c>
      <c r="D51" s="15">
        <v>486</v>
      </c>
      <c r="E51" s="14">
        <v>36.992592860000002</v>
      </c>
      <c r="F51" s="16">
        <v>2.5877297100000001</v>
      </c>
      <c r="G51" s="14">
        <v>63.007407139999998</v>
      </c>
      <c r="H51" s="16">
        <v>2.5877297100000001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(2488/B52*100)</f>
        <v>82.575506140059744</v>
      </c>
      <c r="D52" s="15">
        <v>525</v>
      </c>
      <c r="E52" s="14">
        <v>17.520884939999998</v>
      </c>
      <c r="F52" s="16">
        <v>1.48097977</v>
      </c>
      <c r="G52" s="14">
        <v>82.479115059999998</v>
      </c>
      <c r="H52" s="16">
        <v>1.48097977</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(2301/B53*100)</f>
        <v>83.369565217391312</v>
      </c>
      <c r="D53" s="15">
        <v>459</v>
      </c>
      <c r="E53" s="14">
        <v>35.048324149999999</v>
      </c>
      <c r="F53" s="16">
        <v>2.3784772699999999</v>
      </c>
      <c r="G53" s="14">
        <v>64.951675850000001</v>
      </c>
      <c r="H53" s="16">
        <v>2.3784772699999999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(2214/B56*100)</f>
        <v>82.766355140186917</v>
      </c>
      <c r="D56" s="15">
        <v>461</v>
      </c>
      <c r="E56" s="14">
        <v>17.622341169999999</v>
      </c>
      <c r="F56" s="16">
        <v>1.9382364000000001</v>
      </c>
      <c r="G56" s="14">
        <v>82.377658830000001</v>
      </c>
      <c r="H56" s="16">
        <v>1.9382364000000001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(2656/B61*100)</f>
        <v>82.974070602936578</v>
      </c>
      <c r="D61" s="15">
        <v>545</v>
      </c>
      <c r="E61" s="14">
        <v>24.792588800000001</v>
      </c>
      <c r="F61" s="16">
        <v>1.9143065800000001</v>
      </c>
      <c r="G61" s="14">
        <v>75.207411199999996</v>
      </c>
      <c r="H61" s="16">
        <v>1.9143065800000001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15.757804419999999</v>
      </c>
      <c r="F62" s="16">
        <v>1.76869045</v>
      </c>
      <c r="G62" s="14">
        <v>84.242195580000001</v>
      </c>
      <c r="H62" s="16">
        <v>1.76869045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(2322/B66*100)</f>
        <v>83.796463370624323</v>
      </c>
      <c r="D66" s="15">
        <v>449</v>
      </c>
      <c r="E66" s="14">
        <v>34.460730079999998</v>
      </c>
      <c r="F66" s="16">
        <v>2.38748922</v>
      </c>
      <c r="G66" s="14">
        <v>65.539269919999995</v>
      </c>
      <c r="H66" s="16">
        <v>2.38748922</v>
      </c>
      <c r="I66" s="14" t="s">
        <v>139</v>
      </c>
      <c r="J66" s="16" t="s">
        <v>139</v>
      </c>
      <c r="K66" s="14">
        <v>0</v>
      </c>
      <c r="L66" s="16">
        <v>0</v>
      </c>
      <c r="M66" s="14">
        <v>0</v>
      </c>
      <c r="N66" s="16">
        <v>0</v>
      </c>
      <c r="O66" s="14">
        <v>0</v>
      </c>
      <c r="P66" s="16">
        <v>0</v>
      </c>
      <c r="Q66" s="14">
        <v>0</v>
      </c>
      <c r="R66" s="16">
        <v>0</v>
      </c>
    </row>
    <row r="67" spans="1:18" x14ac:dyDescent="0.25">
      <c r="A67" s="11" t="s">
        <v>200</v>
      </c>
      <c r="B67" s="13">
        <v>3460</v>
      </c>
      <c r="C67" s="14">
        <f>(3024/B67*100)</f>
        <v>87.398843930635834</v>
      </c>
      <c r="D67" s="15">
        <v>436</v>
      </c>
      <c r="E67" s="14">
        <v>46.61994421</v>
      </c>
      <c r="F67" s="16">
        <v>2.7406287599999999</v>
      </c>
      <c r="G67" s="14">
        <v>53.38005579</v>
      </c>
      <c r="H67" s="16">
        <v>2.7406287599999999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(2593/B70*100)</f>
        <v>83.456710653363373</v>
      </c>
      <c r="D70" s="15">
        <v>514</v>
      </c>
      <c r="E70" s="14">
        <v>26.97745879</v>
      </c>
      <c r="F70" s="16">
        <v>2.1716174700000002</v>
      </c>
      <c r="G70" s="14">
        <v>73.02254121</v>
      </c>
      <c r="H70" s="16">
        <v>2.1716174700000002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(3169/B72*100)</f>
        <v>82.979837653836086</v>
      </c>
      <c r="D72" s="15">
        <v>650</v>
      </c>
      <c r="E72" s="14">
        <v>31.22879021</v>
      </c>
      <c r="F72" s="16">
        <v>1.9135986599999999</v>
      </c>
      <c r="G72" s="14">
        <v>68.77120979</v>
      </c>
      <c r="H72" s="16">
        <v>1.9135986599999999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(3933/B73*100)</f>
        <v>84.544282029234736</v>
      </c>
      <c r="D73" s="15">
        <v>719</v>
      </c>
      <c r="E73" s="14">
        <v>56.48138994</v>
      </c>
      <c r="F73" s="16">
        <v>2.7456095600000001</v>
      </c>
      <c r="G73" s="14">
        <v>43.51861006</v>
      </c>
      <c r="H73" s="16">
        <v>2.7456095600000001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(2535/B75*100)</f>
        <v>85.382283597170755</v>
      </c>
      <c r="D75" s="15">
        <v>434</v>
      </c>
      <c r="E75" s="14">
        <v>58.018125570000002</v>
      </c>
      <c r="F75" s="16">
        <v>2.47218289</v>
      </c>
      <c r="G75" s="14">
        <v>41.981874429999998</v>
      </c>
      <c r="H75" s="16">
        <v>2.47218289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(5904/B76*100)</f>
        <v>82.979620520028107</v>
      </c>
      <c r="D76" s="15">
        <v>1211</v>
      </c>
      <c r="E76" s="14">
        <v>34.866695149999998</v>
      </c>
      <c r="F76" s="16">
        <v>1.8098085900000001</v>
      </c>
      <c r="G76" s="14">
        <v>65.133304850000002</v>
      </c>
      <c r="H76" s="16">
        <v>1.8098085900000001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(2655/B77*100)</f>
        <v>84.178820545339249</v>
      </c>
      <c r="D77" s="15">
        <v>499</v>
      </c>
      <c r="E77" s="14">
        <v>33.219837259999998</v>
      </c>
      <c r="F77" s="16">
        <v>2.1336021299999999</v>
      </c>
      <c r="G77" s="14">
        <v>66.780162739999994</v>
      </c>
      <c r="H77" s="16">
        <v>2.1336021299999999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(3912/B81*100)</f>
        <v>83.269476372924643</v>
      </c>
      <c r="D81" s="15">
        <v>786</v>
      </c>
      <c r="E81" s="14">
        <v>7.8450726399999997</v>
      </c>
      <c r="F81" s="16">
        <v>1.3097234099999999</v>
      </c>
      <c r="G81" s="14">
        <v>9.7899603200000005</v>
      </c>
      <c r="H81" s="16">
        <v>1.4001939999999999</v>
      </c>
      <c r="I81" s="14" t="s">
        <v>139</v>
      </c>
      <c r="J81" s="16" t="s">
        <v>139</v>
      </c>
      <c r="K81" s="14">
        <v>0</v>
      </c>
      <c r="L81" s="16">
        <v>0</v>
      </c>
      <c r="M81" s="14">
        <v>82.364967039999996</v>
      </c>
      <c r="N81" s="16">
        <v>2.2224428999999999</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18.726522859999999</v>
      </c>
      <c r="F7" s="16">
        <v>1.4816466800000001</v>
      </c>
      <c r="G7" s="14">
        <v>81.273477139999997</v>
      </c>
      <c r="H7" s="16">
        <v>1.4816466800000001</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31.997192009999999</v>
      </c>
      <c r="F8" s="16">
        <v>2.2631886699999999</v>
      </c>
      <c r="G8" s="14">
        <v>68.002807989999994</v>
      </c>
      <c r="H8" s="16">
        <v>2.2631886699999999</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30.661058019999999</v>
      </c>
      <c r="F9" s="16">
        <v>1.92622961</v>
      </c>
      <c r="G9" s="14">
        <v>69.338941980000001</v>
      </c>
      <c r="H9" s="16">
        <v>1.92622961</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20.63096869</v>
      </c>
      <c r="F10" s="16">
        <v>1.2474474799999999</v>
      </c>
      <c r="G10" s="14">
        <v>79.369031309999997</v>
      </c>
      <c r="H10" s="16">
        <v>1.2474474799999999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43.611110650000001</v>
      </c>
      <c r="F11" s="16">
        <v>2.3064238700000002</v>
      </c>
      <c r="G11" s="14">
        <v>56.388889349999999</v>
      </c>
      <c r="H11" s="16">
        <v>2.3064238700000002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39.362508069999997</v>
      </c>
      <c r="F12" s="16">
        <v>2.4974140899999999</v>
      </c>
      <c r="G12" s="14">
        <v>60.637491930000003</v>
      </c>
      <c r="H12" s="16">
        <v>2.4974140899999999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32.508074190000002</v>
      </c>
      <c r="F13" s="16">
        <v>2.44130118</v>
      </c>
      <c r="G13" s="14">
        <v>67.491925809999998</v>
      </c>
      <c r="H13" s="16">
        <v>2.44130118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26.599768739999998</v>
      </c>
      <c r="F14" s="16">
        <v>2.0801740099999999</v>
      </c>
      <c r="G14" s="14">
        <v>73.400231259999998</v>
      </c>
      <c r="H14" s="16">
        <v>2.0801740099999999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14.35345682</v>
      </c>
      <c r="F15" s="16">
        <v>1.5776943699999999</v>
      </c>
      <c r="G15" s="14">
        <v>85.646543179999995</v>
      </c>
      <c r="H15" s="16">
        <v>1.5776943699999999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30.430283039999999</v>
      </c>
      <c r="F16" s="16">
        <v>2.2488163800000001</v>
      </c>
      <c r="G16" s="14">
        <v>69.569716959999994</v>
      </c>
      <c r="H16" s="16">
        <v>2.2488163800000001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24.89901776</v>
      </c>
      <c r="F17" s="16">
        <v>2.0811248099999999</v>
      </c>
      <c r="G17" s="14">
        <v>75.100982239999993</v>
      </c>
      <c r="H17" s="16">
        <v>2.0811248099999999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52.278778240000001</v>
      </c>
      <c r="F18" s="16">
        <v>2.3796929699999998</v>
      </c>
      <c r="G18" s="14">
        <v>47.721221759999999</v>
      </c>
      <c r="H18" s="16">
        <v>2.3796929699999998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40.982878409999998</v>
      </c>
      <c r="F19" s="16">
        <v>2.7413159500000002</v>
      </c>
      <c r="G19" s="14">
        <v>59.017121590000002</v>
      </c>
      <c r="H19" s="16">
        <v>2.7413159500000002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23.792025800000001</v>
      </c>
      <c r="F20" s="16">
        <v>2.4497966600000001</v>
      </c>
      <c r="G20" s="14">
        <v>76.207974199999995</v>
      </c>
      <c r="H20" s="16">
        <v>2.4497966600000001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51.478665169999999</v>
      </c>
      <c r="F22" s="16">
        <v>2.6733714599999998</v>
      </c>
      <c r="G22" s="14">
        <v>48.521334830000001</v>
      </c>
      <c r="H22" s="16">
        <v>2.6733714599999998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39.933099839999997</v>
      </c>
      <c r="F23" s="16">
        <v>2.5997794600000002</v>
      </c>
      <c r="G23" s="14">
        <v>60.066900160000003</v>
      </c>
      <c r="H23" s="16">
        <v>2.5997794600000002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13.97851532</v>
      </c>
      <c r="F24" s="16">
        <v>1.2223539999999999</v>
      </c>
      <c r="G24" s="14">
        <v>86.02148468</v>
      </c>
      <c r="H24" s="16">
        <v>1.2223539999999999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24.098614139999999</v>
      </c>
      <c r="F25" s="16">
        <v>1.8621698799999999</v>
      </c>
      <c r="G25" s="14">
        <v>75.901385860000005</v>
      </c>
      <c r="H25" s="16">
        <v>1.8621698799999999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38.804697519999998</v>
      </c>
      <c r="F26" s="16">
        <v>2.6060477199999998</v>
      </c>
      <c r="G26" s="14">
        <v>61.195302480000002</v>
      </c>
      <c r="H26" s="16">
        <v>2.6060477199999998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34.93596153</v>
      </c>
      <c r="F27" s="16">
        <v>2.4379271400000002</v>
      </c>
      <c r="G27" s="14">
        <v>65.06403847</v>
      </c>
      <c r="H27" s="16">
        <v>2.4379271400000002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62.675422750000003</v>
      </c>
      <c r="F28" s="16">
        <v>2.3354347099999999</v>
      </c>
      <c r="G28" s="14">
        <v>37.324577249999997</v>
      </c>
      <c r="H28" s="16">
        <v>2.3354347099999999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27.069522240000001</v>
      </c>
      <c r="F29" s="16">
        <v>2.1525774499999999</v>
      </c>
      <c r="G29" s="14">
        <v>72.930477760000002</v>
      </c>
      <c r="H29" s="16">
        <v>2.1525774499999999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20.950265080000001</v>
      </c>
      <c r="F30" s="16">
        <v>1.92636819</v>
      </c>
      <c r="G30" s="14">
        <v>79.049734920000006</v>
      </c>
      <c r="H30" s="16">
        <v>1.92636819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24.111343120000001</v>
      </c>
      <c r="F31" s="16">
        <v>1.9391789699999999</v>
      </c>
      <c r="G31" s="14">
        <v>75.888656879999999</v>
      </c>
      <c r="H31" s="16">
        <v>1.9391789699999999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31.93743989</v>
      </c>
      <c r="F33" s="16">
        <v>2.6629410500000001</v>
      </c>
      <c r="G33" s="14">
        <v>68.062560110000007</v>
      </c>
      <c r="H33" s="16">
        <v>2.6629410500000001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47.376902629999996</v>
      </c>
      <c r="F34" s="16">
        <v>2.4003717400000002</v>
      </c>
      <c r="G34" s="14">
        <v>52.623097370000004</v>
      </c>
      <c r="H34" s="16">
        <v>2.4003717400000002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32.484377840000001</v>
      </c>
      <c r="F35" s="16">
        <v>2.2193770599999998</v>
      </c>
      <c r="G35" s="14">
        <v>67.515622160000007</v>
      </c>
      <c r="H35" s="16">
        <v>2.2193770599999998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31.818435709999999</v>
      </c>
      <c r="F36" s="16">
        <v>2.0348484999999998</v>
      </c>
      <c r="G36" s="14">
        <v>68.181564289999997</v>
      </c>
      <c r="H36" s="16">
        <v>2.0348484999999998</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31.49001488</v>
      </c>
      <c r="F37" s="16">
        <v>2.4318900800000001</v>
      </c>
      <c r="G37" s="14">
        <v>68.509985119999996</v>
      </c>
      <c r="H37" s="16">
        <v>2.4318900800000001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60.400229500000002</v>
      </c>
      <c r="F39" s="16">
        <v>2.4863483</v>
      </c>
      <c r="G39" s="14">
        <v>39.599770499999998</v>
      </c>
      <c r="H39" s="16">
        <v>2.4863483</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(5730/B40*100)</f>
        <v>82.779543484542046</v>
      </c>
      <c r="D40" s="15">
        <v>1192</v>
      </c>
      <c r="E40" s="14">
        <v>24.593352540000001</v>
      </c>
      <c r="F40" s="16">
        <v>1.86436142</v>
      </c>
      <c r="G40" s="14">
        <v>75.406647460000002</v>
      </c>
      <c r="H40" s="16">
        <v>1.86436142</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29.39564751</v>
      </c>
      <c r="F41" s="16">
        <v>2.6917933500000002</v>
      </c>
      <c r="G41" s="14">
        <v>70.604352489999997</v>
      </c>
      <c r="H41" s="16">
        <v>2.6917933500000002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33.073942203437497</v>
      </c>
      <c r="F42" s="16">
        <f>IF(COUNT(F7:F41) &gt; 0, SQRT(SUMSQ(F7:F41)/(COUNT(F7:F41)*COUNT(F7:F41)) ), "—")</f>
        <v>0.39452153628134934</v>
      </c>
      <c r="G42" s="14">
        <f>IF(COUNT(G7:G41) &gt; 0, AVERAGE(G7:G41), "—")</f>
        <v>66.926057796562517</v>
      </c>
      <c r="H42" s="16">
        <f>IF(COUNT(H7:H41) &gt; 0, SQRT(SUMSQ(H7:H41)/(COUNT(H7:H41)*COUNT(H7:H41)) ), "—")</f>
        <v>0.39452153628134934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54.73485342</v>
      </c>
      <c r="F46" s="16">
        <v>1.70272091</v>
      </c>
      <c r="G46" s="14">
        <v>45.26514658</v>
      </c>
      <c r="H46" s="16">
        <v>1.70272091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51.492265420000003</v>
      </c>
      <c r="F47" s="16">
        <v>2.2390573900000001</v>
      </c>
      <c r="G47" s="14">
        <v>48.507734579999997</v>
      </c>
      <c r="H47" s="16">
        <v>2.2390573900000001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44.605016030000002</v>
      </c>
      <c r="F48" s="16">
        <v>2.5251383500000002</v>
      </c>
      <c r="G48" s="14">
        <v>55.394983969999998</v>
      </c>
      <c r="H48" s="16">
        <v>2.5251383500000002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63.878601830000001</v>
      </c>
      <c r="F50" s="16">
        <v>1.79631663</v>
      </c>
      <c r="G50" s="14">
        <v>36.121398169999999</v>
      </c>
      <c r="H50" s="16">
        <v>1.79631663</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54.233969520000002</v>
      </c>
      <c r="F51" s="16">
        <v>2.10085188</v>
      </c>
      <c r="G51" s="14">
        <v>45.766030479999998</v>
      </c>
      <c r="H51" s="16">
        <v>2.10085188</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34.80489678</v>
      </c>
      <c r="F52" s="16">
        <v>1.88885653</v>
      </c>
      <c r="G52" s="14">
        <v>65.195103219999993</v>
      </c>
      <c r="H52" s="16">
        <v>1.88885653</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51.932562070000003</v>
      </c>
      <c r="F53" s="16">
        <v>2.09135362</v>
      </c>
      <c r="G53" s="14">
        <v>48.067437929999997</v>
      </c>
      <c r="H53" s="16">
        <v>2.09135362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32.452755629999999</v>
      </c>
      <c r="F56" s="16">
        <v>2.0429936299999998</v>
      </c>
      <c r="G56" s="14">
        <v>67.547244370000001</v>
      </c>
      <c r="H56" s="16">
        <v>2.0429936299999998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45.617750819999998</v>
      </c>
      <c r="F61" s="16">
        <v>2.1388411199999999</v>
      </c>
      <c r="G61" s="14">
        <v>54.382249180000002</v>
      </c>
      <c r="H61" s="16">
        <v>2.1388411199999999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37.437722579999999</v>
      </c>
      <c r="F62" s="16">
        <v>2.4311555299999998</v>
      </c>
      <c r="G62" s="14">
        <v>62.562277420000001</v>
      </c>
      <c r="H62" s="16">
        <v>2.4311555299999998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55.231449759999997</v>
      </c>
      <c r="F66" s="16">
        <v>2.6556619299999999</v>
      </c>
      <c r="G66" s="14">
        <v>44.768550240000003</v>
      </c>
      <c r="H66" s="16">
        <v>2.6556619299999999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61.282585769999997</v>
      </c>
      <c r="F67" s="16">
        <v>2.8054473099999999</v>
      </c>
      <c r="G67" s="14">
        <v>38.717414230000003</v>
      </c>
      <c r="H67" s="16">
        <v>2.8054473099999999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42.226950270000003</v>
      </c>
      <c r="F70" s="16">
        <v>3.1097641</v>
      </c>
      <c r="G70" s="14">
        <v>57.773049729999997</v>
      </c>
      <c r="H70" s="16">
        <v>3.1097641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20.325478749999998</v>
      </c>
      <c r="F72" s="16">
        <v>1.65342671</v>
      </c>
      <c r="G72" s="14">
        <v>79.674521249999998</v>
      </c>
      <c r="H72" s="16">
        <v>1.65342671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50.878520969999997</v>
      </c>
      <c r="F73" s="16">
        <v>2.7185005000000002</v>
      </c>
      <c r="G73" s="14">
        <v>49.121479030000003</v>
      </c>
      <c r="H73" s="16">
        <v>2.7185005000000002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78.712162759999998</v>
      </c>
      <c r="F75" s="16">
        <v>2.2422576799999998</v>
      </c>
      <c r="G75" s="14">
        <v>21.287837240000002</v>
      </c>
      <c r="H75" s="16">
        <v>2.2422576799999998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55.278936000000002</v>
      </c>
      <c r="F76" s="16">
        <v>1.73756709</v>
      </c>
      <c r="G76" s="14">
        <v>44.721063999999998</v>
      </c>
      <c r="H76" s="16">
        <v>1.73756709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53.05646265</v>
      </c>
      <c r="F77" s="16">
        <v>2.2406112600000001</v>
      </c>
      <c r="G77" s="14">
        <v>46.94353735</v>
      </c>
      <c r="H77" s="16">
        <v>2.2406112600000001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61.993795329999998</v>
      </c>
      <c r="F81" s="16">
        <v>2.0763194199999999</v>
      </c>
      <c r="G81" s="14">
        <v>38.006204670000002</v>
      </c>
      <c r="H81" s="16">
        <v>2.0763194199999999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49.158636020000003</v>
      </c>
      <c r="F7" s="16">
        <v>1.7439501500000001</v>
      </c>
      <c r="G7" s="14">
        <v>50.841363979999997</v>
      </c>
      <c r="H7" s="16">
        <v>1.7439501500000001</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40.10304498</v>
      </c>
      <c r="F8" s="16">
        <v>2.2473021700000002</v>
      </c>
      <c r="G8" s="14">
        <v>59.89695502</v>
      </c>
      <c r="H8" s="16">
        <v>2.2473021700000002</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38.933102480000002</v>
      </c>
      <c r="F9" s="16">
        <v>1.7762493800000001</v>
      </c>
      <c r="G9" s="14">
        <v>61.066897519999998</v>
      </c>
      <c r="H9" s="16">
        <v>1.7762493800000001</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42.753378560000002</v>
      </c>
      <c r="F10" s="16">
        <v>1.6433701700000001</v>
      </c>
      <c r="G10" s="14">
        <v>57.246621439999998</v>
      </c>
      <c r="H10" s="16">
        <v>1.6433701700000001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43.773607830000003</v>
      </c>
      <c r="F11" s="16">
        <v>2.3856961999999999</v>
      </c>
      <c r="G11" s="14">
        <v>56.226392169999997</v>
      </c>
      <c r="H11" s="16">
        <v>2.3856961999999999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43.449857790000003</v>
      </c>
      <c r="F12" s="16">
        <v>2.3335074900000001</v>
      </c>
      <c r="G12" s="14">
        <v>56.550142209999997</v>
      </c>
      <c r="H12" s="16">
        <v>2.3335074900000001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59.345793569999998</v>
      </c>
      <c r="F13" s="16">
        <v>2.3970485799999999</v>
      </c>
      <c r="G13" s="14">
        <v>40.654206430000002</v>
      </c>
      <c r="H13" s="16">
        <v>2.3970485799999999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35.839362620000003</v>
      </c>
      <c r="F14" s="16">
        <v>2.7207231599999999</v>
      </c>
      <c r="G14" s="14">
        <v>64.160637379999997</v>
      </c>
      <c r="H14" s="16">
        <v>2.7207231599999999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29.369756580000001</v>
      </c>
      <c r="F15" s="16">
        <v>2.01250661</v>
      </c>
      <c r="G15" s="14">
        <v>70.630243419999999</v>
      </c>
      <c r="H15" s="16">
        <v>2.01250661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43.740327909999998</v>
      </c>
      <c r="F16" s="16">
        <v>2.3874556899999999</v>
      </c>
      <c r="G16" s="14">
        <v>56.259672090000002</v>
      </c>
      <c r="H16" s="16">
        <v>2.3874556899999999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49.89601614</v>
      </c>
      <c r="F17" s="16">
        <v>2.1009279200000002</v>
      </c>
      <c r="G17" s="14">
        <v>50.10398386</v>
      </c>
      <c r="H17" s="16">
        <v>2.1009279200000002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45.283190089999998</v>
      </c>
      <c r="F18" s="16">
        <v>2.4772942100000002</v>
      </c>
      <c r="G18" s="14">
        <v>54.716809910000002</v>
      </c>
      <c r="H18" s="16">
        <v>2.4772942100000002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44.063870649999998</v>
      </c>
      <c r="F19" s="16">
        <v>2.9236897000000002</v>
      </c>
      <c r="G19" s="14">
        <v>55.936129350000002</v>
      </c>
      <c r="H19" s="16">
        <v>2.9236897000000002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33.152130210000003</v>
      </c>
      <c r="F20" s="16">
        <v>3.16436926</v>
      </c>
      <c r="G20" s="14">
        <v>66.847869790000004</v>
      </c>
      <c r="H20" s="16">
        <v>3.16436926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54.452224940000001</v>
      </c>
      <c r="F22" s="16">
        <v>2.41767946</v>
      </c>
      <c r="G22" s="14">
        <v>45.547775059999999</v>
      </c>
      <c r="H22" s="16">
        <v>2.41767946</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52.424277410000002</v>
      </c>
      <c r="F23" s="16">
        <v>2.3525969299999998</v>
      </c>
      <c r="G23" s="14">
        <v>47.575722589999998</v>
      </c>
      <c r="H23" s="16">
        <v>2.3525969299999998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20.851561360000002</v>
      </c>
      <c r="F24" s="16">
        <v>1.4689935599999999</v>
      </c>
      <c r="G24" s="14">
        <v>79.148438639999995</v>
      </c>
      <c r="H24" s="16">
        <v>1.4689935599999999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13.009469660000001</v>
      </c>
      <c r="F25" s="16">
        <v>1.32919243</v>
      </c>
      <c r="G25" s="14">
        <v>86.990530340000007</v>
      </c>
      <c r="H25" s="16">
        <v>1.32919243</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48.657710520000002</v>
      </c>
      <c r="F26" s="16">
        <v>2.6815040099999998</v>
      </c>
      <c r="G26" s="14">
        <v>51.342289479999998</v>
      </c>
      <c r="H26" s="16">
        <v>2.6815040099999998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45.365864719999998</v>
      </c>
      <c r="F27" s="16">
        <v>2.4027890300000001</v>
      </c>
      <c r="G27" s="14">
        <v>54.634135280000002</v>
      </c>
      <c r="H27" s="16">
        <v>2.4027890300000001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50.290410899999998</v>
      </c>
      <c r="F28" s="16">
        <v>2.4493349599999998</v>
      </c>
      <c r="G28" s="14">
        <v>49.709589100000002</v>
      </c>
      <c r="H28" s="16">
        <v>2.4493349599999998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35.93001718</v>
      </c>
      <c r="F29" s="16">
        <v>2.3491159100000001</v>
      </c>
      <c r="G29" s="14">
        <v>64.069982820000007</v>
      </c>
      <c r="H29" s="16">
        <v>2.3491159100000001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55.737962340000003</v>
      </c>
      <c r="F30" s="16">
        <v>3.1709677900000002</v>
      </c>
      <c r="G30" s="14">
        <v>44.262037659999997</v>
      </c>
      <c r="H30" s="16">
        <v>3.1709677900000002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42.517147719999997</v>
      </c>
      <c r="F31" s="16">
        <v>2.2735667300000002</v>
      </c>
      <c r="G31" s="14">
        <v>57.482852280000003</v>
      </c>
      <c r="H31" s="16">
        <v>2.2735667300000002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56.607448259999998</v>
      </c>
      <c r="F33" s="16">
        <v>2.3132282399999999</v>
      </c>
      <c r="G33" s="14">
        <v>43.392551740000002</v>
      </c>
      <c r="H33" s="16">
        <v>2.3132282399999999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45.697406370000003</v>
      </c>
      <c r="F34" s="16">
        <v>2.8270269699999999</v>
      </c>
      <c r="G34" s="14">
        <v>54.302593629999997</v>
      </c>
      <c r="H34" s="16">
        <v>2.8270269699999999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37.053871340000001</v>
      </c>
      <c r="F35" s="16">
        <v>2.4603358399999999</v>
      </c>
      <c r="G35" s="14">
        <v>62.946128659999999</v>
      </c>
      <c r="H35" s="16">
        <v>2.4603358399999999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43.295531199999999</v>
      </c>
      <c r="F36" s="16">
        <v>2.6115503800000002</v>
      </c>
      <c r="G36" s="14">
        <v>56.704468800000001</v>
      </c>
      <c r="H36" s="16">
        <v>2.6115503800000002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46.043154970000003</v>
      </c>
      <c r="F37" s="16">
        <v>2.9455681</v>
      </c>
      <c r="G37" s="14">
        <v>53.956845029999997</v>
      </c>
      <c r="H37" s="16">
        <v>2.9455681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33.777296290000002</v>
      </c>
      <c r="F39" s="16">
        <v>2.4643549999999999</v>
      </c>
      <c r="G39" s="14">
        <v>66.222703710000005</v>
      </c>
      <c r="H39" s="16">
        <v>2.4643549999999999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(5730/B40*100)</f>
        <v>82.779543484542046</v>
      </c>
      <c r="D40" s="15">
        <v>1192</v>
      </c>
      <c r="E40" s="14">
        <v>62.295386450000002</v>
      </c>
      <c r="F40" s="16">
        <v>2.21992696</v>
      </c>
      <c r="G40" s="14">
        <v>37.704613549999998</v>
      </c>
      <c r="H40" s="16">
        <v>2.21992696</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43.461017099999999</v>
      </c>
      <c r="F41" s="16">
        <v>2.5228975</v>
      </c>
      <c r="G41" s="14">
        <v>56.538982900000001</v>
      </c>
      <c r="H41" s="16">
        <v>2.5228975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43.322807317499993</v>
      </c>
      <c r="F42" s="16">
        <f>IF(COUNT(F7:F41) &gt; 0, SQRT(SUMSQ(F7:F41)/(COUNT(F7:F41)*COUNT(F7:F41)) ), "—")</f>
        <v>0.42431455666183365</v>
      </c>
      <c r="G42" s="14">
        <f>IF(COUNT(G7:G41) &gt; 0, AVERAGE(G7:G41), "—")</f>
        <v>56.677192682500007</v>
      </c>
      <c r="H42" s="16">
        <f>IF(COUNT(H7:H41) &gt; 0, SQRT(SUMSQ(H7:H41)/(COUNT(H7:H41)*COUNT(H7:H41)) ), "—")</f>
        <v>0.42431455666183365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54.299412859999997</v>
      </c>
      <c r="F46" s="16">
        <v>1.7877430000000001</v>
      </c>
      <c r="G46" s="14">
        <v>45.700587140000003</v>
      </c>
      <c r="H46" s="16">
        <v>1.7877430000000001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46.805973190000003</v>
      </c>
      <c r="F47" s="16">
        <v>2.24306341</v>
      </c>
      <c r="G47" s="14">
        <v>53.194026809999997</v>
      </c>
      <c r="H47" s="16">
        <v>2.24306341</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39.501275579999998</v>
      </c>
      <c r="F48" s="16">
        <v>2.6809621099999998</v>
      </c>
      <c r="G48" s="14">
        <v>60.498724420000002</v>
      </c>
      <c r="H48" s="16">
        <v>2.6809621099999998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52.357427680000001</v>
      </c>
      <c r="F50" s="16">
        <v>1.8862635999999999</v>
      </c>
      <c r="G50" s="14">
        <v>47.642572319999999</v>
      </c>
      <c r="H50" s="16">
        <v>1.8862635999999999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42.271887200000002</v>
      </c>
      <c r="F51" s="16">
        <v>2.5565191500000002</v>
      </c>
      <c r="G51" s="14">
        <v>57.728112799999998</v>
      </c>
      <c r="H51" s="16">
        <v>2.5565191500000002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38.018873139999997</v>
      </c>
      <c r="F52" s="16">
        <v>2.46727652</v>
      </c>
      <c r="G52" s="14">
        <v>61.981126860000003</v>
      </c>
      <c r="H52" s="16">
        <v>2.46727652</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49.293709239999998</v>
      </c>
      <c r="F53" s="16">
        <v>2.55233438</v>
      </c>
      <c r="G53" s="14">
        <v>50.706290760000002</v>
      </c>
      <c r="H53" s="16">
        <v>2.55233438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30.162450209999999</v>
      </c>
      <c r="F56" s="16">
        <v>2.0488993400000002</v>
      </c>
      <c r="G56" s="14">
        <v>69.837549789999997</v>
      </c>
      <c r="H56" s="16">
        <v>2.0488993400000002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46.341088380000002</v>
      </c>
      <c r="F61" s="16">
        <v>2.44707477</v>
      </c>
      <c r="G61" s="14">
        <v>53.658911619999998</v>
      </c>
      <c r="H61" s="16">
        <v>2.44707477</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36.253016729999999</v>
      </c>
      <c r="F62" s="16">
        <v>2.2810552099999999</v>
      </c>
      <c r="G62" s="14">
        <v>63.746983270000001</v>
      </c>
      <c r="H62" s="16">
        <v>2.2810552099999999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38.754820680000002</v>
      </c>
      <c r="F66" s="16">
        <v>2.5626307100000001</v>
      </c>
      <c r="G66" s="14">
        <v>61.245179319999998</v>
      </c>
      <c r="H66" s="16">
        <v>2.5626307100000001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57.616910570000002</v>
      </c>
      <c r="F67" s="16">
        <v>2.6759013</v>
      </c>
      <c r="G67" s="14">
        <v>42.383089429999998</v>
      </c>
      <c r="H67" s="16">
        <v>2.6759013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44.647184090000003</v>
      </c>
      <c r="F70" s="16">
        <v>2.4713051799999999</v>
      </c>
      <c r="G70" s="14">
        <v>55.352815909999997</v>
      </c>
      <c r="H70" s="16">
        <v>2.4713051799999999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26.332062709999999</v>
      </c>
      <c r="F72" s="16">
        <v>1.7834810999999999</v>
      </c>
      <c r="G72" s="14">
        <v>73.667937289999998</v>
      </c>
      <c r="H72" s="16">
        <v>1.7834810999999999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52.487809169999998</v>
      </c>
      <c r="F73" s="16">
        <v>2.44605754</v>
      </c>
      <c r="G73" s="14">
        <v>47.512190830000002</v>
      </c>
      <c r="H73" s="16">
        <v>2.44605754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58.47182256</v>
      </c>
      <c r="F75" s="16">
        <v>2.4378030599999998</v>
      </c>
      <c r="G75" s="14">
        <v>41.52817744</v>
      </c>
      <c r="H75" s="16">
        <v>2.4378030599999998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45.077685819999999</v>
      </c>
      <c r="F76" s="16">
        <v>1.8787086200000001</v>
      </c>
      <c r="G76" s="14">
        <v>54.922314180000001</v>
      </c>
      <c r="H76" s="16">
        <v>1.8787086200000001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56.840528749999997</v>
      </c>
      <c r="F77" s="16">
        <v>2.42827415</v>
      </c>
      <c r="G77" s="14">
        <v>43.159471250000003</v>
      </c>
      <c r="H77" s="16">
        <v>2.42827415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37.820430809999998</v>
      </c>
      <c r="F81" s="16">
        <v>2.1864436</v>
      </c>
      <c r="G81" s="14">
        <v>62.179569190000002</v>
      </c>
      <c r="H81" s="16">
        <v>2.1864436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39.051647940000002</v>
      </c>
      <c r="F7" s="16">
        <v>1.8839878800000001</v>
      </c>
      <c r="G7" s="14">
        <v>60.948352059999998</v>
      </c>
      <c r="H7" s="16">
        <v>1.8839878800000001</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42.008139630000002</v>
      </c>
      <c r="F8" s="16">
        <v>2.1512240899999999</v>
      </c>
      <c r="G8" s="14">
        <v>57.991860369999998</v>
      </c>
      <c r="H8" s="16">
        <v>2.1512240899999999</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44.526745339999998</v>
      </c>
      <c r="F9" s="16">
        <v>1.9460582399999999</v>
      </c>
      <c r="G9" s="14">
        <v>55.473254660000002</v>
      </c>
      <c r="H9" s="16">
        <v>1.9460582399999999</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34.478932010000001</v>
      </c>
      <c r="F10" s="16">
        <v>1.3332635500000001</v>
      </c>
      <c r="G10" s="14">
        <v>65.521067990000006</v>
      </c>
      <c r="H10" s="16">
        <v>1.3332635500000001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49.24533297</v>
      </c>
      <c r="F11" s="16">
        <v>2.60401163</v>
      </c>
      <c r="G11" s="14">
        <v>50.75466703</v>
      </c>
      <c r="H11" s="16">
        <v>2.60401163</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55.32446418</v>
      </c>
      <c r="F12" s="16">
        <v>2.5070681499999998</v>
      </c>
      <c r="G12" s="14">
        <v>44.67553582</v>
      </c>
      <c r="H12" s="16">
        <v>2.5070681499999998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41.120831219999999</v>
      </c>
      <c r="F13" s="16">
        <v>2.4799348600000002</v>
      </c>
      <c r="G13" s="14">
        <v>58.879168780000001</v>
      </c>
      <c r="H13" s="16">
        <v>2.4799348600000002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40.992364180000003</v>
      </c>
      <c r="F14" s="16">
        <v>2.6422228900000002</v>
      </c>
      <c r="G14" s="14">
        <v>59.007635819999997</v>
      </c>
      <c r="H14" s="16">
        <v>2.6422228900000002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36.850410459999999</v>
      </c>
      <c r="F15" s="16">
        <v>2.12504925</v>
      </c>
      <c r="G15" s="14">
        <v>63.149589540000001</v>
      </c>
      <c r="H15" s="16">
        <v>2.12504925</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44.370273300000001</v>
      </c>
      <c r="F16" s="16">
        <v>2.5751512000000001</v>
      </c>
      <c r="G16" s="14">
        <v>55.629726699999999</v>
      </c>
      <c r="H16" s="16">
        <v>2.5751512000000001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39.168343299999997</v>
      </c>
      <c r="F17" s="16">
        <v>2.2307627600000002</v>
      </c>
      <c r="G17" s="14">
        <v>60.831656700000003</v>
      </c>
      <c r="H17" s="16">
        <v>2.2307627600000002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49.824827859999999</v>
      </c>
      <c r="F18" s="16">
        <v>2.31862711</v>
      </c>
      <c r="G18" s="14">
        <v>50.175172140000001</v>
      </c>
      <c r="H18" s="16">
        <v>2.31862711</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60.671464970000002</v>
      </c>
      <c r="F19" s="16">
        <v>2.0532711199999998</v>
      </c>
      <c r="G19" s="14">
        <v>39.328535029999998</v>
      </c>
      <c r="H19" s="16">
        <v>2.0532711199999998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53.247417499999997</v>
      </c>
      <c r="F20" s="16">
        <v>2.9252718500000001</v>
      </c>
      <c r="G20" s="14">
        <v>46.752582500000003</v>
      </c>
      <c r="H20" s="16">
        <v>2.9252718500000001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47.959788119999999</v>
      </c>
      <c r="F22" s="16">
        <v>2.4150045000000002</v>
      </c>
      <c r="G22" s="14">
        <v>52.040211880000001</v>
      </c>
      <c r="H22" s="16">
        <v>2.4150045000000002</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41.092048849999998</v>
      </c>
      <c r="F23" s="16">
        <v>2.64558201</v>
      </c>
      <c r="G23" s="14">
        <v>58.907951150000002</v>
      </c>
      <c r="H23" s="16">
        <v>2.64558201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20.825447539999999</v>
      </c>
      <c r="F24" s="16">
        <v>1.6315357399999999</v>
      </c>
      <c r="G24" s="14">
        <v>79.174552460000001</v>
      </c>
      <c r="H24" s="16">
        <v>1.6315357399999999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35.138424829999998</v>
      </c>
      <c r="F25" s="16">
        <v>2.2831358000000002</v>
      </c>
      <c r="G25" s="14">
        <v>64.861575169999995</v>
      </c>
      <c r="H25" s="16">
        <v>2.2831358000000002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41.979619540000002</v>
      </c>
      <c r="F26" s="16">
        <v>2.4697672599999998</v>
      </c>
      <c r="G26" s="14">
        <v>58.020380459999998</v>
      </c>
      <c r="H26" s="16">
        <v>2.4697672599999998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40.853484369999997</v>
      </c>
      <c r="F27" s="16">
        <v>2.6011689100000002</v>
      </c>
      <c r="G27" s="14">
        <v>59.146515630000003</v>
      </c>
      <c r="H27" s="16">
        <v>2.6011689100000002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83.278805070000004</v>
      </c>
      <c r="F28" s="16">
        <v>1.5636867299999999</v>
      </c>
      <c r="G28" s="14">
        <v>16.721194929999999</v>
      </c>
      <c r="H28" s="16">
        <v>1.5636867299999999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39.263009779999997</v>
      </c>
      <c r="F29" s="16">
        <v>2.43545576</v>
      </c>
      <c r="G29" s="14">
        <v>60.736990220000003</v>
      </c>
      <c r="H29" s="16">
        <v>2.43545576</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38.77101442</v>
      </c>
      <c r="F30" s="16">
        <v>2.9396325399999998</v>
      </c>
      <c r="G30" s="14">
        <v>61.22898558</v>
      </c>
      <c r="H30" s="16">
        <v>2.9396325399999998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48.52166356</v>
      </c>
      <c r="F31" s="16">
        <v>2.5589717699999999</v>
      </c>
      <c r="G31" s="14">
        <v>51.47833644</v>
      </c>
      <c r="H31" s="16">
        <v>2.5589717699999999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44.903951309999997</v>
      </c>
      <c r="F33" s="16">
        <v>2.4844452499999998</v>
      </c>
      <c r="G33" s="14">
        <v>55.096048690000003</v>
      </c>
      <c r="H33" s="16">
        <v>2.4844452499999998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54.636544569999998</v>
      </c>
      <c r="F34" s="16">
        <v>2.0672005800000002</v>
      </c>
      <c r="G34" s="14">
        <v>45.363455430000002</v>
      </c>
      <c r="H34" s="16">
        <v>2.0672005800000002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53.87010678</v>
      </c>
      <c r="F35" s="16">
        <v>2.8776059300000001</v>
      </c>
      <c r="G35" s="14">
        <v>46.12989322</v>
      </c>
      <c r="H35" s="16">
        <v>2.8776059300000001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31.470290200000001</v>
      </c>
      <c r="F36" s="16">
        <v>2.2301505399999999</v>
      </c>
      <c r="G36" s="14">
        <v>68.529709800000006</v>
      </c>
      <c r="H36" s="16">
        <v>2.2301505399999999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32.996135529999997</v>
      </c>
      <c r="F37" s="16">
        <v>2.37527971</v>
      </c>
      <c r="G37" s="14">
        <v>67.003864469999996</v>
      </c>
      <c r="H37" s="16">
        <v>2.37527971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68.764999829999994</v>
      </c>
      <c r="F39" s="16">
        <v>2.2275984100000001</v>
      </c>
      <c r="G39" s="14">
        <v>31.235000169999999</v>
      </c>
      <c r="H39" s="16">
        <v>2.2275984100000001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(5730/B40*100)</f>
        <v>82.779543484542046</v>
      </c>
      <c r="D40" s="15">
        <v>1192</v>
      </c>
      <c r="E40" s="14">
        <v>39.917153429999999</v>
      </c>
      <c r="F40" s="16">
        <v>2.1898388</v>
      </c>
      <c r="G40" s="14">
        <v>60.082846570000001</v>
      </c>
      <c r="H40" s="16">
        <v>2.1898388</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37.232590209999998</v>
      </c>
      <c r="F41" s="16">
        <v>2.4520671599999999</v>
      </c>
      <c r="G41" s="14">
        <v>62.767409790000002</v>
      </c>
      <c r="H41" s="16">
        <v>2.4520671599999999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44.761133524999998</v>
      </c>
      <c r="F42" s="16">
        <f>IF(COUNT(F7:F41) &gt; 0, SQRT(SUMSQ(F7:F41)/(COUNT(F7:F41)*COUNT(F7:F41)) ), "—")</f>
        <v>0.41512257099195227</v>
      </c>
      <c r="G42" s="14">
        <f>IF(COUNT(G7:G41) &gt; 0, AVERAGE(G7:G41), "—")</f>
        <v>55.238866475000009</v>
      </c>
      <c r="H42" s="16">
        <f>IF(COUNT(H7:H41) &gt; 0, SQRT(SUMSQ(H7:H41)/(COUNT(H7:H41)*COUNT(H7:H41)) ), "—")</f>
        <v>0.41512257099195227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62.585885840000003</v>
      </c>
      <c r="F46" s="16">
        <v>1.7614059500000001</v>
      </c>
      <c r="G46" s="14">
        <v>37.414114159999997</v>
      </c>
      <c r="H46" s="16">
        <v>1.7614059500000001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59.074288840000001</v>
      </c>
      <c r="F47" s="16">
        <v>2.6876608700000002</v>
      </c>
      <c r="G47" s="14">
        <v>40.925711159999999</v>
      </c>
      <c r="H47" s="16">
        <v>2.6876608700000002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61.354936199999997</v>
      </c>
      <c r="F48" s="16">
        <v>2.7091524900000001</v>
      </c>
      <c r="G48" s="14">
        <v>38.645063800000003</v>
      </c>
      <c r="H48" s="16">
        <v>2.7091524900000001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63.714299109999999</v>
      </c>
      <c r="F50" s="16">
        <v>1.92038577</v>
      </c>
      <c r="G50" s="14">
        <v>36.285700890000001</v>
      </c>
      <c r="H50" s="16">
        <v>1.92038577</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60.290791740000003</v>
      </c>
      <c r="F51" s="16">
        <v>2.2087470200000001</v>
      </c>
      <c r="G51" s="14">
        <v>39.709208259999997</v>
      </c>
      <c r="H51" s="16">
        <v>2.2087470200000001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70.007501090000005</v>
      </c>
      <c r="F52" s="16">
        <v>2.0214573300000001</v>
      </c>
      <c r="G52" s="14">
        <v>29.992498909999998</v>
      </c>
      <c r="H52" s="16">
        <v>2.0214573300000001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55.397371249999999</v>
      </c>
      <c r="F53" s="16">
        <v>2.6412602500000002</v>
      </c>
      <c r="G53" s="14">
        <v>44.602628750000001</v>
      </c>
      <c r="H53" s="16">
        <v>2.6412602500000002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52.753662740000003</v>
      </c>
      <c r="F56" s="16">
        <v>2.2524510700000002</v>
      </c>
      <c r="G56" s="14">
        <v>47.246337259999997</v>
      </c>
      <c r="H56" s="16">
        <v>2.2524510700000002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51.21141763</v>
      </c>
      <c r="F61" s="16">
        <v>2.4304301599999998</v>
      </c>
      <c r="G61" s="14">
        <v>48.78858237</v>
      </c>
      <c r="H61" s="16">
        <v>2.4304301599999998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49.371966380000003</v>
      </c>
      <c r="F62" s="16">
        <v>2.7347188500000001</v>
      </c>
      <c r="G62" s="14">
        <v>50.628033619999997</v>
      </c>
      <c r="H62" s="16">
        <v>2.7347188500000001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83.494134869999996</v>
      </c>
      <c r="F66" s="16">
        <v>1.8941231199999999</v>
      </c>
      <c r="G66" s="14">
        <v>16.50586513</v>
      </c>
      <c r="H66" s="16">
        <v>1.8941231199999999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57.017486040000001</v>
      </c>
      <c r="F67" s="16">
        <v>2.56925486</v>
      </c>
      <c r="G67" s="14">
        <v>42.982513959999999</v>
      </c>
      <c r="H67" s="16">
        <v>2.56925486</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44.467530449999998</v>
      </c>
      <c r="F70" s="16">
        <v>2.62677878</v>
      </c>
      <c r="G70" s="14">
        <v>55.532469550000002</v>
      </c>
      <c r="H70" s="16">
        <v>2.62677878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39.11284801</v>
      </c>
      <c r="F72" s="16">
        <v>2.1009282100000002</v>
      </c>
      <c r="G72" s="14">
        <v>60.88715199</v>
      </c>
      <c r="H72" s="16">
        <v>2.1009282100000002</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64.983623190000003</v>
      </c>
      <c r="F73" s="16">
        <v>2.37072511</v>
      </c>
      <c r="G73" s="14">
        <v>35.016376809999997</v>
      </c>
      <c r="H73" s="16">
        <v>2.37072511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79.895041629999994</v>
      </c>
      <c r="F75" s="16">
        <v>1.93488292</v>
      </c>
      <c r="G75" s="14">
        <v>20.104958369999999</v>
      </c>
      <c r="H75" s="16">
        <v>1.93488292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68.056228930000003</v>
      </c>
      <c r="F76" s="16">
        <v>1.50634029</v>
      </c>
      <c r="G76" s="14">
        <v>31.94377107</v>
      </c>
      <c r="H76" s="16">
        <v>1.50634029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52.603501899999998</v>
      </c>
      <c r="F77" s="16">
        <v>2.5217509699999998</v>
      </c>
      <c r="G77" s="14">
        <v>47.396498100000002</v>
      </c>
      <c r="H77" s="16">
        <v>2.5217509699999998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60.072331040000002</v>
      </c>
      <c r="F81" s="16">
        <v>2.1303668199999999</v>
      </c>
      <c r="G81" s="14">
        <v>39.927668959999998</v>
      </c>
      <c r="H81" s="16">
        <v>2.1303668199999999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16.86492514</v>
      </c>
      <c r="F7" s="16">
        <v>1.34592767</v>
      </c>
      <c r="G7" s="14">
        <v>83.135074860000003</v>
      </c>
      <c r="H7" s="16">
        <v>1.34592767</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21.131383020000001</v>
      </c>
      <c r="F8" s="16">
        <v>1.8746408299999999</v>
      </c>
      <c r="G8" s="14">
        <v>78.868616979999999</v>
      </c>
      <c r="H8" s="16">
        <v>1.8746408299999999</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16.856778259999999</v>
      </c>
      <c r="F9" s="16">
        <v>1.4540017199999999</v>
      </c>
      <c r="G9" s="14">
        <v>83.143221740000001</v>
      </c>
      <c r="H9" s="16">
        <v>1.4540017199999999</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12.71243713</v>
      </c>
      <c r="F10" s="16">
        <v>1.16425833</v>
      </c>
      <c r="G10" s="14">
        <v>87.287562870000002</v>
      </c>
      <c r="H10" s="16">
        <v>1.16425833</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29.895533839999999</v>
      </c>
      <c r="F11" s="16">
        <v>2.2433694399999999</v>
      </c>
      <c r="G11" s="14">
        <v>70.104466160000001</v>
      </c>
      <c r="H11" s="16">
        <v>2.2433694399999999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19.725793670000002</v>
      </c>
      <c r="F12" s="16">
        <v>1.9525026599999999</v>
      </c>
      <c r="G12" s="14">
        <v>80.274206329999998</v>
      </c>
      <c r="H12" s="16">
        <v>1.9525026599999999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15.46343072</v>
      </c>
      <c r="F13" s="16">
        <v>1.7785923299999999</v>
      </c>
      <c r="G13" s="14">
        <v>84.536569279999995</v>
      </c>
      <c r="H13" s="16">
        <v>1.7785923299999999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15.991736299999999</v>
      </c>
      <c r="F14" s="16">
        <v>1.81744131</v>
      </c>
      <c r="G14" s="14">
        <v>84.008263700000001</v>
      </c>
      <c r="H14" s="16">
        <v>1.81744131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11.198082879999999</v>
      </c>
      <c r="F15" s="16">
        <v>1.4578200699999999</v>
      </c>
      <c r="G15" s="14">
        <v>88.801917119999999</v>
      </c>
      <c r="H15" s="16">
        <v>1.4578200699999999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19.071620020000001</v>
      </c>
      <c r="F16" s="16">
        <v>1.83943904</v>
      </c>
      <c r="G16" s="14">
        <v>80.928379980000003</v>
      </c>
      <c r="H16" s="16">
        <v>1.83943904</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16.350302190000001</v>
      </c>
      <c r="F17" s="16">
        <v>1.8719636399999999</v>
      </c>
      <c r="G17" s="14">
        <v>83.649697810000006</v>
      </c>
      <c r="H17" s="16">
        <v>1.8719636399999999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31.722623120000002</v>
      </c>
      <c r="F18" s="16">
        <v>2.23621486</v>
      </c>
      <c r="G18" s="14">
        <v>68.277376880000006</v>
      </c>
      <c r="H18" s="16">
        <v>2.23621486</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27.258921109999999</v>
      </c>
      <c r="F19" s="16">
        <v>2.4492849900000002</v>
      </c>
      <c r="G19" s="14">
        <v>72.741078889999997</v>
      </c>
      <c r="H19" s="16">
        <v>2.4492849900000002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15.91186458</v>
      </c>
      <c r="F20" s="16">
        <v>2.10109704</v>
      </c>
      <c r="G20" s="14">
        <v>84.08813542</v>
      </c>
      <c r="H20" s="16">
        <v>2.10109704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27.310768849999999</v>
      </c>
      <c r="F22" s="16">
        <v>1.97915134</v>
      </c>
      <c r="G22" s="14">
        <v>72.689231149999998</v>
      </c>
      <c r="H22" s="16">
        <v>1.97915134</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18.10258906</v>
      </c>
      <c r="F23" s="16">
        <v>2.1452365000000002</v>
      </c>
      <c r="G23" s="14">
        <v>81.89741094</v>
      </c>
      <c r="H23" s="16">
        <v>2.1452365000000002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9.1780265100000005</v>
      </c>
      <c r="F24" s="16">
        <v>1.1539674799999999</v>
      </c>
      <c r="G24" s="14">
        <v>90.821973490000005</v>
      </c>
      <c r="H24" s="16">
        <v>1.1539674799999999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8.1697414800000008</v>
      </c>
      <c r="F25" s="16">
        <v>1.2755461699999999</v>
      </c>
      <c r="G25" s="14">
        <v>91.830258520000001</v>
      </c>
      <c r="H25" s="16">
        <v>1.2755461699999999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27.322064739999998</v>
      </c>
      <c r="F26" s="16">
        <v>2.1764724100000001</v>
      </c>
      <c r="G26" s="14">
        <v>72.677935259999998</v>
      </c>
      <c r="H26" s="16">
        <v>2.1764724100000001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20.69512426</v>
      </c>
      <c r="F27" s="16">
        <v>1.96602677</v>
      </c>
      <c r="G27" s="14">
        <v>79.30487574</v>
      </c>
      <c r="H27" s="16">
        <v>1.96602677</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42.675880339999999</v>
      </c>
      <c r="F28" s="16">
        <v>2.2793857000000002</v>
      </c>
      <c r="G28" s="14">
        <v>57.324119660000001</v>
      </c>
      <c r="H28" s="16">
        <v>2.2793857000000002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15.630854469999999</v>
      </c>
      <c r="F29" s="16">
        <v>1.7245726400000001</v>
      </c>
      <c r="G29" s="14">
        <v>84.369145529999997</v>
      </c>
      <c r="H29" s="16">
        <v>1.7245726400000001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15.25004627</v>
      </c>
      <c r="F30" s="16">
        <v>2.35311088</v>
      </c>
      <c r="G30" s="14">
        <v>84.749953730000001</v>
      </c>
      <c r="H30" s="16">
        <v>2.35311088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17.511278269999998</v>
      </c>
      <c r="F31" s="16">
        <v>1.90116741</v>
      </c>
      <c r="G31" s="14">
        <v>82.488721729999995</v>
      </c>
      <c r="H31" s="16">
        <v>1.90116741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23.625309860000002</v>
      </c>
      <c r="F33" s="16">
        <v>1.8821871299999999</v>
      </c>
      <c r="G33" s="14">
        <v>76.374690139999998</v>
      </c>
      <c r="H33" s="16">
        <v>1.8821871299999999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29.935532370000001</v>
      </c>
      <c r="F34" s="16">
        <v>2.2806659900000001</v>
      </c>
      <c r="G34" s="14">
        <v>70.064467629999996</v>
      </c>
      <c r="H34" s="16">
        <v>2.2806659900000001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16.97307262</v>
      </c>
      <c r="F35" s="16">
        <v>2.0440250099999999</v>
      </c>
      <c r="G35" s="14">
        <v>83.026927380000004</v>
      </c>
      <c r="H35" s="16">
        <v>2.0440250099999999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14.436668600000001</v>
      </c>
      <c r="F36" s="16">
        <v>1.54888973</v>
      </c>
      <c r="G36" s="14">
        <v>85.563331399999996</v>
      </c>
      <c r="H36" s="16">
        <v>1.54888973</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18.011324680000001</v>
      </c>
      <c r="F37" s="16">
        <v>1.85658901</v>
      </c>
      <c r="G37" s="14">
        <v>81.988675319999999</v>
      </c>
      <c r="H37" s="16">
        <v>1.85658901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45.244458799999997</v>
      </c>
      <c r="F39" s="16">
        <v>2.10133123</v>
      </c>
      <c r="G39" s="14">
        <v>54.755541200000003</v>
      </c>
      <c r="H39" s="16">
        <v>2.10133123</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(5730/B40*100)</f>
        <v>82.779543484542046</v>
      </c>
      <c r="D40" s="15">
        <v>1192</v>
      </c>
      <c r="E40" s="14">
        <v>17.170503799999999</v>
      </c>
      <c r="F40" s="16">
        <v>1.57711109</v>
      </c>
      <c r="G40" s="14">
        <v>82.829496199999994</v>
      </c>
      <c r="H40" s="16">
        <v>1.57711109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18.630794089999998</v>
      </c>
      <c r="F41" s="16">
        <v>1.64527315</v>
      </c>
      <c r="G41" s="14">
        <v>81.369205910000005</v>
      </c>
      <c r="H41" s="16">
        <v>1.64527315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20.500920970312499</v>
      </c>
      <c r="F42" s="16">
        <f>IF(COUNT(F7:F41) &gt; 0, SQRT(SUMSQ(F7:F41)/(COUNT(F7:F41)*COUNT(F7:F41)) ), "—")</f>
        <v>0.33411700483004131</v>
      </c>
      <c r="G42" s="14">
        <f>IF(COUNT(G7:G41) &gt; 0, AVERAGE(G7:G41), "—")</f>
        <v>79.499079029687493</v>
      </c>
      <c r="H42" s="16">
        <f>IF(COUNT(H7:H41) &gt; 0, SQRT(SUMSQ(H7:H41)/(COUNT(H7:H41)*COUNT(H7:H41)) ), "—")</f>
        <v>0.33411700483004131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48.867027090000001</v>
      </c>
      <c r="F46" s="16">
        <v>2.1860946000000001</v>
      </c>
      <c r="G46" s="14">
        <v>51.132972909999999</v>
      </c>
      <c r="H46" s="16">
        <v>2.1860946000000001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43.66471525</v>
      </c>
      <c r="F47" s="16">
        <v>2.3289590100000002</v>
      </c>
      <c r="G47" s="14">
        <v>56.33528475</v>
      </c>
      <c r="H47" s="16">
        <v>2.3289590100000002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23.66507094</v>
      </c>
      <c r="F48" s="16">
        <v>1.92274027</v>
      </c>
      <c r="G48" s="14">
        <v>76.334929059999993</v>
      </c>
      <c r="H48" s="16">
        <v>1.92274027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42.752253920000001</v>
      </c>
      <c r="F50" s="16">
        <v>2.3077802699999999</v>
      </c>
      <c r="G50" s="14">
        <v>57.247746079999999</v>
      </c>
      <c r="H50" s="16">
        <v>2.3077802699999999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33.860608390000003</v>
      </c>
      <c r="F51" s="16">
        <v>2.2168101199999999</v>
      </c>
      <c r="G51" s="14">
        <v>66.139391610000004</v>
      </c>
      <c r="H51" s="16">
        <v>2.2168101199999999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25.157631339999998</v>
      </c>
      <c r="F52" s="16">
        <v>2.1867728099999999</v>
      </c>
      <c r="G52" s="14">
        <v>74.842368660000005</v>
      </c>
      <c r="H52" s="16">
        <v>2.1867728099999999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37.208774689999998</v>
      </c>
      <c r="F53" s="16">
        <v>2.31843442</v>
      </c>
      <c r="G53" s="14">
        <v>62.791225310000002</v>
      </c>
      <c r="H53" s="16">
        <v>2.31843442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13.857991</v>
      </c>
      <c r="F56" s="16">
        <v>1.65898952</v>
      </c>
      <c r="G56" s="14">
        <v>86.142009000000002</v>
      </c>
      <c r="H56" s="16">
        <v>1.65898952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32.717963740000002</v>
      </c>
      <c r="F61" s="16">
        <v>2.3036531600000001</v>
      </c>
      <c r="G61" s="14">
        <v>67.282036259999998</v>
      </c>
      <c r="H61" s="16">
        <v>2.3036531600000001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11.76136545</v>
      </c>
      <c r="F62" s="16">
        <v>1.61522254</v>
      </c>
      <c r="G62" s="14">
        <v>88.23863455</v>
      </c>
      <c r="H62" s="16">
        <v>1.61522254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44.66692321</v>
      </c>
      <c r="F66" s="16">
        <v>2.5844405199999998</v>
      </c>
      <c r="G66" s="14">
        <v>55.33307679</v>
      </c>
      <c r="H66" s="16">
        <v>2.5844405199999998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47.062489880000001</v>
      </c>
      <c r="F67" s="16">
        <v>2.8466825299999998</v>
      </c>
      <c r="G67" s="14">
        <v>52.937510119999999</v>
      </c>
      <c r="H67" s="16">
        <v>2.8466825299999998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23.820293070000002</v>
      </c>
      <c r="F70" s="16">
        <v>2.7490599900000001</v>
      </c>
      <c r="G70" s="14">
        <v>76.179706929999995</v>
      </c>
      <c r="H70" s="16">
        <v>2.7490599900000001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10.72540723</v>
      </c>
      <c r="F72" s="16">
        <v>1.48243524</v>
      </c>
      <c r="G72" s="14">
        <v>89.274592769999998</v>
      </c>
      <c r="H72" s="16">
        <v>1.48243524</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43.517892089999997</v>
      </c>
      <c r="F73" s="16">
        <v>2.5266072500000001</v>
      </c>
      <c r="G73" s="14">
        <v>56.482107910000003</v>
      </c>
      <c r="H73" s="16">
        <v>2.5266072500000001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50.85614442</v>
      </c>
      <c r="F75" s="16">
        <v>2.6297599100000002</v>
      </c>
      <c r="G75" s="14">
        <v>49.14385558</v>
      </c>
      <c r="H75" s="16">
        <v>2.6297599100000002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39.333053739999997</v>
      </c>
      <c r="F76" s="16">
        <v>1.5458207100000001</v>
      </c>
      <c r="G76" s="14">
        <v>60.666946260000003</v>
      </c>
      <c r="H76" s="16">
        <v>1.5458207100000001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35.65654095</v>
      </c>
      <c r="F77" s="16">
        <v>2.3870247500000001</v>
      </c>
      <c r="G77" s="14">
        <v>64.343459050000007</v>
      </c>
      <c r="H77" s="16">
        <v>2.3870247500000001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34.972292699999997</v>
      </c>
      <c r="F81" s="16">
        <v>2.1624876199999998</v>
      </c>
      <c r="G81" s="14">
        <v>65.027707300000003</v>
      </c>
      <c r="H81" s="16">
        <v>2.1624876199999998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23.73648579</v>
      </c>
      <c r="F7" s="16">
        <v>1.35041989</v>
      </c>
      <c r="G7" s="14">
        <v>76.263514209999997</v>
      </c>
      <c r="H7" s="16">
        <v>1.35041989</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20.534227080000001</v>
      </c>
      <c r="F8" s="16">
        <v>1.81108962</v>
      </c>
      <c r="G8" s="14">
        <v>79.465772920000006</v>
      </c>
      <c r="H8" s="16">
        <v>1.81108962</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24.056470900000001</v>
      </c>
      <c r="F9" s="16">
        <v>1.7478079799999999</v>
      </c>
      <c r="G9" s="14">
        <v>75.943529100000006</v>
      </c>
      <c r="H9" s="16">
        <v>1.7478079799999999</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21.949732189999999</v>
      </c>
      <c r="F10" s="16">
        <v>1.3468554699999999</v>
      </c>
      <c r="G10" s="14">
        <v>78.050267809999994</v>
      </c>
      <c r="H10" s="16">
        <v>1.3468554699999999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33.788881689999997</v>
      </c>
      <c r="F11" s="16">
        <v>2.4868076399999999</v>
      </c>
      <c r="G11" s="14">
        <v>66.211118310000003</v>
      </c>
      <c r="H11" s="16">
        <v>2.4868076399999999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32.561817570000002</v>
      </c>
      <c r="F12" s="16">
        <v>2.28131394</v>
      </c>
      <c r="G12" s="14">
        <v>67.438182429999998</v>
      </c>
      <c r="H12" s="16">
        <v>2.28131394</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16.235942720000001</v>
      </c>
      <c r="F13" s="16">
        <v>2.1372881800000001</v>
      </c>
      <c r="G13" s="14">
        <v>83.764057280000003</v>
      </c>
      <c r="H13" s="16">
        <v>2.1372881800000001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22.995297130000001</v>
      </c>
      <c r="F14" s="16">
        <v>1.82408404</v>
      </c>
      <c r="G14" s="14">
        <v>77.004702870000003</v>
      </c>
      <c r="H14" s="16">
        <v>1.82408404</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22.846840879999998</v>
      </c>
      <c r="F15" s="16">
        <v>1.81584458</v>
      </c>
      <c r="G15" s="14">
        <v>77.153159119999998</v>
      </c>
      <c r="H15" s="16">
        <v>1.81584458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27.813270249999999</v>
      </c>
      <c r="F16" s="16">
        <v>2.2558861800000001</v>
      </c>
      <c r="G16" s="14">
        <v>72.186729749999998</v>
      </c>
      <c r="H16" s="16">
        <v>2.2558861800000001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14.71415932</v>
      </c>
      <c r="F17" s="16">
        <v>1.5372105599999999</v>
      </c>
      <c r="G17" s="14">
        <v>85.285840680000007</v>
      </c>
      <c r="H17" s="16">
        <v>1.5372105599999999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40.794932709999998</v>
      </c>
      <c r="F18" s="16">
        <v>2.2096887399999998</v>
      </c>
      <c r="G18" s="14">
        <v>59.205067290000002</v>
      </c>
      <c r="H18" s="16">
        <v>2.2096887399999998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38.080828259999997</v>
      </c>
      <c r="F19" s="16">
        <v>3.2599013700000001</v>
      </c>
      <c r="G19" s="14">
        <v>61.919171740000003</v>
      </c>
      <c r="H19" s="16">
        <v>3.2599013700000001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28.341687029999999</v>
      </c>
      <c r="F20" s="16">
        <v>2.5956633</v>
      </c>
      <c r="G20" s="14">
        <v>71.658312969999997</v>
      </c>
      <c r="H20" s="16">
        <v>2.5956633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33.792786149999998</v>
      </c>
      <c r="F22" s="16">
        <v>2.5582794199999999</v>
      </c>
      <c r="G22" s="14">
        <v>66.207213850000002</v>
      </c>
      <c r="H22" s="16">
        <v>2.5582794199999999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29.484835799999999</v>
      </c>
      <c r="F23" s="16">
        <v>2.5205146799999998</v>
      </c>
      <c r="G23" s="14">
        <v>70.515164200000001</v>
      </c>
      <c r="H23" s="16">
        <v>2.5205146799999998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14.93030227</v>
      </c>
      <c r="F24" s="16">
        <v>1.3045333400000001</v>
      </c>
      <c r="G24" s="14">
        <v>85.069697730000001</v>
      </c>
      <c r="H24" s="16">
        <v>1.3045333400000001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19.289149569999999</v>
      </c>
      <c r="F25" s="16">
        <v>1.7649408600000001</v>
      </c>
      <c r="G25" s="14">
        <v>80.710850429999994</v>
      </c>
      <c r="H25" s="16">
        <v>1.7649408600000001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37.029587589999998</v>
      </c>
      <c r="F26" s="16">
        <v>2.5120203800000001</v>
      </c>
      <c r="G26" s="14">
        <v>62.970412410000002</v>
      </c>
      <c r="H26" s="16">
        <v>2.5120203800000001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23.11416049</v>
      </c>
      <c r="F27" s="16">
        <v>1.99205923</v>
      </c>
      <c r="G27" s="14">
        <v>76.885839509999997</v>
      </c>
      <c r="H27" s="16">
        <v>1.99205923</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47.552519699999998</v>
      </c>
      <c r="F28" s="16">
        <v>2.3749866399999999</v>
      </c>
      <c r="G28" s="14">
        <v>52.447480300000002</v>
      </c>
      <c r="H28" s="16">
        <v>2.3749866399999999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15.182234490000001</v>
      </c>
      <c r="F29" s="16">
        <v>1.76405788</v>
      </c>
      <c r="G29" s="14">
        <v>84.817765510000001</v>
      </c>
      <c r="H29" s="16">
        <v>1.76405788</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22.853188159999998</v>
      </c>
      <c r="F30" s="16">
        <v>2.4002470499999999</v>
      </c>
      <c r="G30" s="14">
        <v>77.146811839999998</v>
      </c>
      <c r="H30" s="16">
        <v>2.4002470499999999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23.455702599999999</v>
      </c>
      <c r="F31" s="16">
        <v>2.1087671100000001</v>
      </c>
      <c r="G31" s="14">
        <v>76.544297400000005</v>
      </c>
      <c r="H31" s="16">
        <v>2.1087671100000001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19.846705879999998</v>
      </c>
      <c r="F33" s="16">
        <v>1.8685887000000001</v>
      </c>
      <c r="G33" s="14">
        <v>80.153294119999998</v>
      </c>
      <c r="H33" s="16">
        <v>1.8685887000000001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38.31309134</v>
      </c>
      <c r="F34" s="16">
        <v>2.6379180400000002</v>
      </c>
      <c r="G34" s="14">
        <v>61.68690866</v>
      </c>
      <c r="H34" s="16">
        <v>2.6379180400000002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14.293715560000001</v>
      </c>
      <c r="F35" s="16">
        <v>1.7975349599999999</v>
      </c>
      <c r="G35" s="14">
        <v>85.706284440000005</v>
      </c>
      <c r="H35" s="16">
        <v>1.7975349599999999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25.972334910000001</v>
      </c>
      <c r="F36" s="16">
        <v>2.09771259</v>
      </c>
      <c r="G36" s="14">
        <v>74.027665089999999</v>
      </c>
      <c r="H36" s="16">
        <v>2.09771259</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26.490861639999999</v>
      </c>
      <c r="F37" s="16">
        <v>2.6644597999999999</v>
      </c>
      <c r="G37" s="14">
        <v>73.509138359999994</v>
      </c>
      <c r="H37" s="16">
        <v>2.6644597999999999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64.270415279999995</v>
      </c>
      <c r="F39" s="16">
        <v>2.3765397799999999</v>
      </c>
      <c r="G39" s="14">
        <v>35.729584719999998</v>
      </c>
      <c r="H39" s="16">
        <v>2.3765397799999999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(5730/B40*100)</f>
        <v>82.779543484542046</v>
      </c>
      <c r="D40" s="15">
        <v>1192</v>
      </c>
      <c r="E40" s="14">
        <v>25.716854300000001</v>
      </c>
      <c r="F40" s="16">
        <v>1.83466288</v>
      </c>
      <c r="G40" s="14">
        <v>74.283145700000006</v>
      </c>
      <c r="H40" s="16">
        <v>1.83466288</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25.55506578</v>
      </c>
      <c r="F41" s="16">
        <v>1.99392623</v>
      </c>
      <c r="G41" s="14">
        <v>74.444934219999993</v>
      </c>
      <c r="H41" s="16">
        <v>1.99392623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27.362315157187496</v>
      </c>
      <c r="F42" s="16">
        <f>IF(COUNT(F7:F41) &gt; 0, SQRT(SUMSQ(F7:F41)/(COUNT(F7:F41)*COUNT(F7:F41)) ), "—")</f>
        <v>0.3793721513972807</v>
      </c>
      <c r="G42" s="14">
        <f>IF(COUNT(G7:G41) &gt; 0, AVERAGE(G7:G41), "—")</f>
        <v>72.637684842812519</v>
      </c>
      <c r="H42" s="16">
        <f>IF(COUNT(H7:H41) &gt; 0, SQRT(SUMSQ(H7:H41)/(COUNT(H7:H41)*COUNT(H7:H41)) ), "—")</f>
        <v>0.3793721513972807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43.49306507</v>
      </c>
      <c r="F46" s="16">
        <v>2.1006713299999999</v>
      </c>
      <c r="G46" s="14">
        <v>56.50693493</v>
      </c>
      <c r="H46" s="16">
        <v>2.1006713299999999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49.461163200000001</v>
      </c>
      <c r="F47" s="16">
        <v>2.3369759800000001</v>
      </c>
      <c r="G47" s="14">
        <v>50.538836799999999</v>
      </c>
      <c r="H47" s="16">
        <v>2.3369759800000001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22.247476859999999</v>
      </c>
      <c r="F48" s="16">
        <v>1.86986853</v>
      </c>
      <c r="G48" s="14">
        <v>77.752523139999994</v>
      </c>
      <c r="H48" s="16">
        <v>1.86986853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46.383314800000001</v>
      </c>
      <c r="F50" s="16">
        <v>2.3410769</v>
      </c>
      <c r="G50" s="14">
        <v>53.616685199999999</v>
      </c>
      <c r="H50" s="16">
        <v>2.3410769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35.171497199999997</v>
      </c>
      <c r="F51" s="16">
        <v>2.4837603700000002</v>
      </c>
      <c r="G51" s="14">
        <v>64.828502799999995</v>
      </c>
      <c r="H51" s="16">
        <v>2.4837603700000002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23.97985336</v>
      </c>
      <c r="F52" s="16">
        <v>1.87861338</v>
      </c>
      <c r="G52" s="14">
        <v>76.020146639999993</v>
      </c>
      <c r="H52" s="16">
        <v>1.87861338</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44.260003220000002</v>
      </c>
      <c r="F53" s="16">
        <v>2.6846923700000001</v>
      </c>
      <c r="G53" s="14">
        <v>55.739996779999998</v>
      </c>
      <c r="H53" s="16">
        <v>2.6846923700000001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27.509371550000001</v>
      </c>
      <c r="F56" s="16">
        <v>2.4899127499999998</v>
      </c>
      <c r="G56" s="14">
        <v>72.490628450000003</v>
      </c>
      <c r="H56" s="16">
        <v>2.4899127499999998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30.320965009999998</v>
      </c>
      <c r="F61" s="16">
        <v>1.92370207</v>
      </c>
      <c r="G61" s="14">
        <v>69.679034990000005</v>
      </c>
      <c r="H61" s="16">
        <v>1.92370207</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21.649581170000001</v>
      </c>
      <c r="F62" s="16">
        <v>2.0554014299999999</v>
      </c>
      <c r="G62" s="14">
        <v>78.350418829999995</v>
      </c>
      <c r="H62" s="16">
        <v>2.0554014299999999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49.906077260000004</v>
      </c>
      <c r="F66" s="16">
        <v>2.6866095699999999</v>
      </c>
      <c r="G66" s="14">
        <v>50.093922739999996</v>
      </c>
      <c r="H66" s="16">
        <v>2.6866095699999999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41.302374159999999</v>
      </c>
      <c r="F67" s="16">
        <v>2.6366437299999999</v>
      </c>
      <c r="G67" s="14">
        <v>58.697625840000001</v>
      </c>
      <c r="H67" s="16">
        <v>2.6366437299999999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33.363679009999998</v>
      </c>
      <c r="F70" s="16">
        <v>2.7033300100000002</v>
      </c>
      <c r="G70" s="14">
        <v>66.636320990000002</v>
      </c>
      <c r="H70" s="16">
        <v>2.7033300100000002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25.899625230000002</v>
      </c>
      <c r="F72" s="16">
        <v>2.0678934199999999</v>
      </c>
      <c r="G72" s="14">
        <v>74.100374770000002</v>
      </c>
      <c r="H72" s="16">
        <v>2.0678934199999999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36.57552724</v>
      </c>
      <c r="F73" s="16">
        <v>2.3564907000000002</v>
      </c>
      <c r="G73" s="14">
        <v>63.42447276</v>
      </c>
      <c r="H73" s="16">
        <v>2.3564907000000002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65.153384979999998</v>
      </c>
      <c r="F75" s="16">
        <v>2.2588397499999999</v>
      </c>
      <c r="G75" s="14">
        <v>34.846615020000002</v>
      </c>
      <c r="H75" s="16">
        <v>2.2588397499999999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50.549745369999997</v>
      </c>
      <c r="F76" s="16">
        <v>1.8686075099999999</v>
      </c>
      <c r="G76" s="14">
        <v>49.450254630000003</v>
      </c>
      <c r="H76" s="16">
        <v>1.8686075099999999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42.334798960000001</v>
      </c>
      <c r="F77" s="16">
        <v>2.4029549499999998</v>
      </c>
      <c r="G77" s="14">
        <v>57.665201039999999</v>
      </c>
      <c r="H77" s="16">
        <v>2.4029549499999998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39.882972539999997</v>
      </c>
      <c r="F81" s="16">
        <v>2.4447496599999998</v>
      </c>
      <c r="G81" s="14">
        <v>60.117027460000003</v>
      </c>
      <c r="H81" s="16">
        <v>2.4447496599999998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27.697390819999999</v>
      </c>
      <c r="F7" s="16">
        <v>1.68639238</v>
      </c>
      <c r="G7" s="14">
        <v>72.302609180000005</v>
      </c>
      <c r="H7" s="16">
        <v>1.68639238</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29.509752020000001</v>
      </c>
      <c r="F8" s="16">
        <v>1.92901692</v>
      </c>
      <c r="G8" s="14">
        <v>70.490247980000007</v>
      </c>
      <c r="H8" s="16">
        <v>1.92901692</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33.780474140000003</v>
      </c>
      <c r="F9" s="16">
        <v>2.03542713</v>
      </c>
      <c r="G9" s="14">
        <v>66.219525860000005</v>
      </c>
      <c r="H9" s="16">
        <v>2.03542713</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27.52817714</v>
      </c>
      <c r="F10" s="16">
        <v>1.4644288299999999</v>
      </c>
      <c r="G10" s="14">
        <v>72.471822860000003</v>
      </c>
      <c r="H10" s="16">
        <v>1.4644288299999999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50.754604710000002</v>
      </c>
      <c r="F11" s="16">
        <v>2.38439179</v>
      </c>
      <c r="G11" s="14">
        <v>49.245395289999998</v>
      </c>
      <c r="H11" s="16">
        <v>2.38439179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33.551611000000001</v>
      </c>
      <c r="F12" s="16">
        <v>2.6391954399999999</v>
      </c>
      <c r="G12" s="14">
        <v>66.448389000000006</v>
      </c>
      <c r="H12" s="16">
        <v>2.6391954399999999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36.074416409999998</v>
      </c>
      <c r="F13" s="16">
        <v>2.2872856100000001</v>
      </c>
      <c r="G13" s="14">
        <v>63.925583590000002</v>
      </c>
      <c r="H13" s="16">
        <v>2.2872856100000001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28.498630039999998</v>
      </c>
      <c r="F14" s="16">
        <v>2.04312571</v>
      </c>
      <c r="G14" s="14">
        <v>71.501369960000005</v>
      </c>
      <c r="H14" s="16">
        <v>2.04312571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19.8247179</v>
      </c>
      <c r="F15" s="16">
        <v>1.9251049600000001</v>
      </c>
      <c r="G15" s="14">
        <v>80.175282100000004</v>
      </c>
      <c r="H15" s="16">
        <v>1.9251049600000001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35.661323039999999</v>
      </c>
      <c r="F16" s="16">
        <v>2.1228148199999999</v>
      </c>
      <c r="G16" s="14">
        <v>64.338676960000001</v>
      </c>
      <c r="H16" s="16">
        <v>2.1228148199999999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21.370427289999999</v>
      </c>
      <c r="F17" s="16">
        <v>1.86179381</v>
      </c>
      <c r="G17" s="14">
        <v>78.629572710000005</v>
      </c>
      <c r="H17" s="16">
        <v>1.86179381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38.356970660000002</v>
      </c>
      <c r="F18" s="16">
        <v>2.8608807399999998</v>
      </c>
      <c r="G18" s="14">
        <v>61.643029339999998</v>
      </c>
      <c r="H18" s="16">
        <v>2.8608807399999998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47.403003429999998</v>
      </c>
      <c r="F19" s="16">
        <v>2.72325712</v>
      </c>
      <c r="G19" s="14">
        <v>52.596996570000002</v>
      </c>
      <c r="H19" s="16">
        <v>2.72325712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41.641507470000001</v>
      </c>
      <c r="F20" s="16">
        <v>2.8285301500000002</v>
      </c>
      <c r="G20" s="14">
        <v>58.358492529999999</v>
      </c>
      <c r="H20" s="16">
        <v>2.8285301500000002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48.373122690000002</v>
      </c>
      <c r="F22" s="16">
        <v>2.53792719</v>
      </c>
      <c r="G22" s="14">
        <v>51.626877309999998</v>
      </c>
      <c r="H22" s="16">
        <v>2.53792719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44.830172060000002</v>
      </c>
      <c r="F23" s="16">
        <v>3.0053599200000001</v>
      </c>
      <c r="G23" s="14">
        <v>55.169827939999998</v>
      </c>
      <c r="H23" s="16">
        <v>3.0053599200000001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18.71906624</v>
      </c>
      <c r="F24" s="16">
        <v>1.7472231899999999</v>
      </c>
      <c r="G24" s="14">
        <v>81.280933759999996</v>
      </c>
      <c r="H24" s="16">
        <v>1.7472231899999999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19.256340819999998</v>
      </c>
      <c r="F25" s="16">
        <v>1.9130902700000001</v>
      </c>
      <c r="G25" s="14">
        <v>80.743659179999995</v>
      </c>
      <c r="H25" s="16">
        <v>1.9130902700000001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55.711883</v>
      </c>
      <c r="F26" s="16">
        <v>2.5369542100000002</v>
      </c>
      <c r="G26" s="14">
        <v>44.288117</v>
      </c>
      <c r="H26" s="16">
        <v>2.5369542100000002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37.110397800000001</v>
      </c>
      <c r="F27" s="16">
        <v>2.35381616</v>
      </c>
      <c r="G27" s="14">
        <v>62.889602199999999</v>
      </c>
      <c r="H27" s="16">
        <v>2.35381616</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54.842526329999998</v>
      </c>
      <c r="F28" s="16">
        <v>2.4197427199999999</v>
      </c>
      <c r="G28" s="14">
        <v>45.157473670000002</v>
      </c>
      <c r="H28" s="16">
        <v>2.4197427199999999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26.194863359999999</v>
      </c>
      <c r="F29" s="16">
        <v>2.1951179700000001</v>
      </c>
      <c r="G29" s="14">
        <v>73.805136640000001</v>
      </c>
      <c r="H29" s="16">
        <v>2.1951179700000001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27.056142730000001</v>
      </c>
      <c r="F30" s="16">
        <v>2.4838907799999999</v>
      </c>
      <c r="G30" s="14">
        <v>72.943857269999995</v>
      </c>
      <c r="H30" s="16">
        <v>2.4838907799999999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42.23137285</v>
      </c>
      <c r="F31" s="16">
        <v>2.0419476900000002</v>
      </c>
      <c r="G31" s="14">
        <v>57.76862715</v>
      </c>
      <c r="H31" s="16">
        <v>2.0419476900000002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35.897296470000001</v>
      </c>
      <c r="F33" s="16">
        <v>2.4528674499999998</v>
      </c>
      <c r="G33" s="14">
        <v>64.102703529999999</v>
      </c>
      <c r="H33" s="16">
        <v>2.4528674499999998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51.381744949999998</v>
      </c>
      <c r="F34" s="16">
        <v>2.4688763699999998</v>
      </c>
      <c r="G34" s="14">
        <v>48.618255050000002</v>
      </c>
      <c r="H34" s="16">
        <v>2.4688763699999998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25.606656260000001</v>
      </c>
      <c r="F35" s="16">
        <v>2.24848494</v>
      </c>
      <c r="G35" s="14">
        <v>74.393343740000006</v>
      </c>
      <c r="H35" s="16">
        <v>2.24848494</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38.445982540000003</v>
      </c>
      <c r="F36" s="16">
        <v>2.1013117100000001</v>
      </c>
      <c r="G36" s="14">
        <v>61.554017459999997</v>
      </c>
      <c r="H36" s="16">
        <v>2.1013117100000001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30.407017</v>
      </c>
      <c r="F37" s="16">
        <v>2.4543750100000001</v>
      </c>
      <c r="G37" s="14">
        <v>69.592983000000004</v>
      </c>
      <c r="H37" s="16">
        <v>2.4543750100000001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63.349479719999998</v>
      </c>
      <c r="F39" s="16">
        <v>2.2185230300000001</v>
      </c>
      <c r="G39" s="14">
        <v>36.650520280000002</v>
      </c>
      <c r="H39" s="16">
        <v>2.2185230300000001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(5730/B40*100)</f>
        <v>82.779543484542046</v>
      </c>
      <c r="D40" s="15">
        <v>1192</v>
      </c>
      <c r="E40" s="14">
        <v>32.900272469999997</v>
      </c>
      <c r="F40" s="16">
        <v>2.1253314900000002</v>
      </c>
      <c r="G40" s="14">
        <v>67.099727529999996</v>
      </c>
      <c r="H40" s="16">
        <v>2.1253314900000002</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29.161178</v>
      </c>
      <c r="F41" s="16">
        <v>2.3339196200000001</v>
      </c>
      <c r="G41" s="14">
        <v>70.838821999999993</v>
      </c>
      <c r="H41" s="16">
        <v>2.3339196200000001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36.035266292500005</v>
      </c>
      <c r="F42" s="16">
        <f>IF(COUNT(F7:F41) &gt; 0, SQRT(SUMSQ(F7:F41)/(COUNT(F7:F41)*COUNT(F7:F41)) ), "—")</f>
        <v>0.40487494430838794</v>
      </c>
      <c r="G42" s="14">
        <f>IF(COUNT(G7:G41) &gt; 0, AVERAGE(G7:G41), "—")</f>
        <v>63.964733707499995</v>
      </c>
      <c r="H42" s="16">
        <f>IF(COUNT(H7:H41) &gt; 0, SQRT(SUMSQ(H7:H41)/(COUNT(H7:H41)*COUNT(H7:H41)) ), "—")</f>
        <v>0.40487494430838794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57.273974899999999</v>
      </c>
      <c r="F46" s="16">
        <v>1.74810596</v>
      </c>
      <c r="G46" s="14">
        <v>42.726025100000001</v>
      </c>
      <c r="H46" s="16">
        <v>1.74810596</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50.554220979999997</v>
      </c>
      <c r="F47" s="16">
        <v>2.41087776</v>
      </c>
      <c r="G47" s="14">
        <v>49.445779020000003</v>
      </c>
      <c r="H47" s="16">
        <v>2.41087776</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37.808351979999998</v>
      </c>
      <c r="F48" s="16">
        <v>2.40808205</v>
      </c>
      <c r="G48" s="14">
        <v>62.191648020000002</v>
      </c>
      <c r="H48" s="16">
        <v>2.40808205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59.504004340000002</v>
      </c>
      <c r="F50" s="16">
        <v>2.38805829</v>
      </c>
      <c r="G50" s="14">
        <v>40.495995659999998</v>
      </c>
      <c r="H50" s="16">
        <v>2.38805829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61.411943639999997</v>
      </c>
      <c r="F51" s="16">
        <v>2.3323189499999999</v>
      </c>
      <c r="G51" s="14">
        <v>38.588056360000003</v>
      </c>
      <c r="H51" s="16">
        <v>2.3323189499999999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42.200093080000002</v>
      </c>
      <c r="F52" s="16">
        <v>2.4201877199999999</v>
      </c>
      <c r="G52" s="14">
        <v>57.799906919999998</v>
      </c>
      <c r="H52" s="16">
        <v>2.4201877199999999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47.241278100000002</v>
      </c>
      <c r="F53" s="16">
        <v>2.69516315</v>
      </c>
      <c r="G53" s="14">
        <v>52.758721899999998</v>
      </c>
      <c r="H53" s="16">
        <v>2.69516315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20.196122750000001</v>
      </c>
      <c r="F56" s="16">
        <v>2.2899404699999999</v>
      </c>
      <c r="G56" s="14">
        <v>79.803877249999999</v>
      </c>
      <c r="H56" s="16">
        <v>2.2899404699999999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47.749778120000002</v>
      </c>
      <c r="F61" s="16">
        <v>2.4131891300000001</v>
      </c>
      <c r="G61" s="14">
        <v>52.250221879999998</v>
      </c>
      <c r="H61" s="16">
        <v>2.4131891300000001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19.132194089999999</v>
      </c>
      <c r="F62" s="16">
        <v>1.9699295400000001</v>
      </c>
      <c r="G62" s="14">
        <v>80.867805910000001</v>
      </c>
      <c r="H62" s="16">
        <v>1.9699295400000001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62.402235079999997</v>
      </c>
      <c r="F66" s="16">
        <v>2.2325334899999998</v>
      </c>
      <c r="G66" s="14">
        <v>37.597764920000003</v>
      </c>
      <c r="H66" s="16">
        <v>2.2325334899999998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61.700093000000003</v>
      </c>
      <c r="F67" s="16">
        <v>2.81469141</v>
      </c>
      <c r="G67" s="14">
        <v>38.299906999999997</v>
      </c>
      <c r="H67" s="16">
        <v>2.81469141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54.428081489999997</v>
      </c>
      <c r="F70" s="16">
        <v>2.1948666600000002</v>
      </c>
      <c r="G70" s="14">
        <v>45.571918510000003</v>
      </c>
      <c r="H70" s="16">
        <v>2.1948666600000002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21.282642719999998</v>
      </c>
      <c r="F72" s="16">
        <v>1.63692591</v>
      </c>
      <c r="G72" s="14">
        <v>78.717357280000002</v>
      </c>
      <c r="H72" s="16">
        <v>1.63692591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59.71724502</v>
      </c>
      <c r="F73" s="16">
        <v>2.4607645499999999</v>
      </c>
      <c r="G73" s="14">
        <v>40.28275498</v>
      </c>
      <c r="H73" s="16">
        <v>2.4607645499999999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82.076026200000001</v>
      </c>
      <c r="F75" s="16">
        <v>1.7324227800000001</v>
      </c>
      <c r="G75" s="14">
        <v>17.923973799999999</v>
      </c>
      <c r="H75" s="16">
        <v>1.7324227800000001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62.444329609999997</v>
      </c>
      <c r="F76" s="16">
        <v>1.9504099399999999</v>
      </c>
      <c r="G76" s="14">
        <v>37.555670390000003</v>
      </c>
      <c r="H76" s="16">
        <v>1.9504099399999999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49.125467409999999</v>
      </c>
      <c r="F77" s="16">
        <v>2.4928092199999998</v>
      </c>
      <c r="G77" s="14">
        <v>50.874532590000001</v>
      </c>
      <c r="H77" s="16">
        <v>2.4928092199999998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58.092328209999998</v>
      </c>
      <c r="F81" s="16">
        <v>2.39251324</v>
      </c>
      <c r="G81" s="14">
        <v>41.907671790000002</v>
      </c>
      <c r="H81" s="16">
        <v>2.39251324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20.556936870000001</v>
      </c>
      <c r="F7" s="16">
        <v>1.39656103</v>
      </c>
      <c r="G7" s="14">
        <v>79.443063129999999</v>
      </c>
      <c r="H7" s="16">
        <v>1.39656103</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20.721473799999998</v>
      </c>
      <c r="F8" s="16">
        <v>1.8221007600000001</v>
      </c>
      <c r="G8" s="14">
        <v>79.278526200000002</v>
      </c>
      <c r="H8" s="16">
        <v>1.8221007600000001</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23.11203596</v>
      </c>
      <c r="F9" s="16">
        <v>1.8668659999999999</v>
      </c>
      <c r="G9" s="14">
        <v>76.88796404</v>
      </c>
      <c r="H9" s="16">
        <v>1.8668659999999999</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18.382091089999999</v>
      </c>
      <c r="F10" s="16">
        <v>1.1975843799999999</v>
      </c>
      <c r="G10" s="14">
        <v>81.617908909999997</v>
      </c>
      <c r="H10" s="16">
        <v>1.1975843799999999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26.152513259999999</v>
      </c>
      <c r="F11" s="16">
        <v>2.3306538699999999</v>
      </c>
      <c r="G11" s="14">
        <v>73.847486739999994</v>
      </c>
      <c r="H11" s="16">
        <v>2.3306538699999999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22.747428970000001</v>
      </c>
      <c r="F12" s="16">
        <v>1.9558588299999999</v>
      </c>
      <c r="G12" s="14">
        <v>77.252571029999999</v>
      </c>
      <c r="H12" s="16">
        <v>1.9558588299999999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13.82952143</v>
      </c>
      <c r="F13" s="16">
        <v>1.65055083</v>
      </c>
      <c r="G13" s="14">
        <v>86.17047857</v>
      </c>
      <c r="H13" s="16">
        <v>1.65055083</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14.7286255</v>
      </c>
      <c r="F14" s="16">
        <v>1.6866925399999999</v>
      </c>
      <c r="G14" s="14">
        <v>85.271374499999993</v>
      </c>
      <c r="H14" s="16">
        <v>1.6866925399999999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15.0922356</v>
      </c>
      <c r="F15" s="16">
        <v>1.4383792</v>
      </c>
      <c r="G15" s="14">
        <v>84.907764400000005</v>
      </c>
      <c r="H15" s="16">
        <v>1.4383792</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18.370417369999998</v>
      </c>
      <c r="F16" s="16">
        <v>1.6321147600000001</v>
      </c>
      <c r="G16" s="14">
        <v>81.629582630000002</v>
      </c>
      <c r="H16" s="16">
        <v>1.6321147600000001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15.10206232</v>
      </c>
      <c r="F17" s="16">
        <v>1.6339837800000001</v>
      </c>
      <c r="G17" s="14">
        <v>84.897937679999998</v>
      </c>
      <c r="H17" s="16">
        <v>1.6339837800000001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28.81757103</v>
      </c>
      <c r="F18" s="16">
        <v>2.21714688</v>
      </c>
      <c r="G18" s="14">
        <v>71.182428970000004</v>
      </c>
      <c r="H18" s="16">
        <v>2.21714688</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23.31870237</v>
      </c>
      <c r="F19" s="16">
        <v>2.0986483100000002</v>
      </c>
      <c r="G19" s="14">
        <v>76.681297630000003</v>
      </c>
      <c r="H19" s="16">
        <v>2.0986483100000002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14.80655367</v>
      </c>
      <c r="F20" s="16">
        <v>2.5454659899999998</v>
      </c>
      <c r="G20" s="14">
        <v>85.19344633</v>
      </c>
      <c r="H20" s="16">
        <v>2.5454659899999998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32.360880880000003</v>
      </c>
      <c r="F22" s="16">
        <v>2.12731095</v>
      </c>
      <c r="G22" s="14">
        <v>67.639119120000004</v>
      </c>
      <c r="H22" s="16">
        <v>2.12731095</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21.67323476</v>
      </c>
      <c r="F23" s="16">
        <v>2.4912542000000002</v>
      </c>
      <c r="G23" s="14">
        <v>78.32676524</v>
      </c>
      <c r="H23" s="16">
        <v>2.4912542000000002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20.220014249999998</v>
      </c>
      <c r="F24" s="16">
        <v>1.8180444099999999</v>
      </c>
      <c r="G24" s="14">
        <v>79.779985749999994</v>
      </c>
      <c r="H24" s="16">
        <v>1.8180444099999999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29.71572321</v>
      </c>
      <c r="F25" s="16">
        <v>2.1275376100000001</v>
      </c>
      <c r="G25" s="14">
        <v>70.284276790000007</v>
      </c>
      <c r="H25" s="16">
        <v>2.1275376100000001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16.866759989999998</v>
      </c>
      <c r="F26" s="16">
        <v>1.8500014199999999</v>
      </c>
      <c r="G26" s="14">
        <v>83.133240009999994</v>
      </c>
      <c r="H26" s="16">
        <v>1.8500014199999999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18.013964919999999</v>
      </c>
      <c r="F27" s="16">
        <v>1.7822778699999999</v>
      </c>
      <c r="G27" s="14">
        <v>81.986035079999994</v>
      </c>
      <c r="H27" s="16">
        <v>1.7822778699999999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29.18526155</v>
      </c>
      <c r="F28" s="16">
        <v>2.46673835</v>
      </c>
      <c r="G28" s="14">
        <v>70.814738449999993</v>
      </c>
      <c r="H28" s="16">
        <v>2.46673835</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27.15321836</v>
      </c>
      <c r="F29" s="16">
        <v>2.3849789700000001</v>
      </c>
      <c r="G29" s="14">
        <v>72.846781640000003</v>
      </c>
      <c r="H29" s="16">
        <v>2.3849789700000001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20.226362999999999</v>
      </c>
      <c r="F30" s="16">
        <v>2.1282368699999998</v>
      </c>
      <c r="G30" s="14">
        <v>79.773636999999994</v>
      </c>
      <c r="H30" s="16">
        <v>2.1282368699999998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16.176781500000001</v>
      </c>
      <c r="F31" s="16">
        <v>1.9134266600000001</v>
      </c>
      <c r="G31" s="14">
        <v>83.823218499999996</v>
      </c>
      <c r="H31" s="16">
        <v>1.9134266600000001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15.32808917</v>
      </c>
      <c r="F33" s="16">
        <v>1.79050826</v>
      </c>
      <c r="G33" s="14">
        <v>84.671910830000002</v>
      </c>
      <c r="H33" s="16">
        <v>1.79050826</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23.144413440000001</v>
      </c>
      <c r="F34" s="16">
        <v>2.12335421</v>
      </c>
      <c r="G34" s="14">
        <v>76.855586560000006</v>
      </c>
      <c r="H34" s="16">
        <v>2.12335421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26.401266020000001</v>
      </c>
      <c r="F35" s="16">
        <v>2.1594136700000002</v>
      </c>
      <c r="G35" s="14">
        <v>73.598733980000006</v>
      </c>
      <c r="H35" s="16">
        <v>2.1594136700000002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20.00685837</v>
      </c>
      <c r="F36" s="16">
        <v>1.7823812699999999</v>
      </c>
      <c r="G36" s="14">
        <v>79.993141629999997</v>
      </c>
      <c r="H36" s="16">
        <v>1.7823812699999999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19.459223120000001</v>
      </c>
      <c r="F37" s="16">
        <v>2.0046288799999998</v>
      </c>
      <c r="G37" s="14">
        <v>80.540776879999996</v>
      </c>
      <c r="H37" s="16">
        <v>2.0046288799999998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6922</v>
      </c>
      <c r="C40" s="14">
        <f>(5730/B40*100)</f>
        <v>82.779543484542046</v>
      </c>
      <c r="D40" s="15">
        <v>1192</v>
      </c>
      <c r="E40" s="14">
        <v>21.146504969999999</v>
      </c>
      <c r="F40" s="16">
        <v>1.81007078</v>
      </c>
      <c r="G40" s="14">
        <v>78.853495030000005</v>
      </c>
      <c r="H40" s="16">
        <v>1.81007078</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21.876821549999999</v>
      </c>
      <c r="F41" s="16">
        <v>1.9914732799999999</v>
      </c>
      <c r="G41" s="14">
        <v>78.123178449999997</v>
      </c>
      <c r="H41" s="16">
        <v>1.9914732799999999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20.459173384375006</v>
      </c>
      <c r="F42" s="16">
        <f>IF(COUNT(F7:F41) &gt; 0, SQRT(SUMSQ(F7:F41)/(COUNT(F7:F41)*COUNT(F7:F41)) ), "—")</f>
        <v>0.34255461180458918</v>
      </c>
      <c r="G42" s="14">
        <f>IF(COUNT(G7:G41) &gt; 0, AVERAGE(G7:G41), "—")</f>
        <v>76.415826615624994</v>
      </c>
      <c r="H42" s="16">
        <f>IF(COUNT(H7:H41) &gt; 0, SQRT(SUMSQ(H7:H41)/(COUNT(H7:H41)*COUNT(H7:H41)) ), "—")</f>
        <v>0.34255461180458918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35.991402069999999</v>
      </c>
      <c r="F46" s="16">
        <v>1.6606595200000001</v>
      </c>
      <c r="G46" s="14">
        <v>64.008597929999993</v>
      </c>
      <c r="H46" s="16">
        <v>1.6606595200000001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30.35835252</v>
      </c>
      <c r="F47" s="16">
        <v>2.43972057</v>
      </c>
      <c r="G47" s="14">
        <v>69.641647480000003</v>
      </c>
      <c r="H47" s="16">
        <v>2.43972057</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22.776065549999998</v>
      </c>
      <c r="F48" s="16">
        <v>2.18935748</v>
      </c>
      <c r="G48" s="14">
        <v>77.223934450000002</v>
      </c>
      <c r="H48" s="16">
        <v>2.18935748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29.884790649999999</v>
      </c>
      <c r="F50" s="16">
        <v>1.8086317000000001</v>
      </c>
      <c r="G50" s="14">
        <v>70.115209350000001</v>
      </c>
      <c r="H50" s="16">
        <v>1.8086317000000001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24.310104949999999</v>
      </c>
      <c r="F51" s="16">
        <v>2.0119968799999999</v>
      </c>
      <c r="G51" s="14">
        <v>75.689895050000004</v>
      </c>
      <c r="H51" s="16">
        <v>2.0119968799999999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24.47355482</v>
      </c>
      <c r="F52" s="16">
        <v>1.5400241100000001</v>
      </c>
      <c r="G52" s="14">
        <v>75.526445179999996</v>
      </c>
      <c r="H52" s="16">
        <v>1.5400241100000001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33.554178880000002</v>
      </c>
      <c r="F53" s="16">
        <v>2.3969439100000001</v>
      </c>
      <c r="G53" s="14">
        <v>66.445821120000005</v>
      </c>
      <c r="H53" s="16">
        <v>2.3969439100000001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22.576015470000002</v>
      </c>
      <c r="F56" s="16">
        <v>2.1844448299999999</v>
      </c>
      <c r="G56" s="14">
        <v>77.423984529999998</v>
      </c>
      <c r="H56" s="16">
        <v>2.1844448299999999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25.854229010000001</v>
      </c>
      <c r="F61" s="16">
        <v>1.9915285899999999</v>
      </c>
      <c r="G61" s="14">
        <v>74.145770990000003</v>
      </c>
      <c r="H61" s="16">
        <v>1.9915285899999999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18.564185299999998</v>
      </c>
      <c r="F62" s="16">
        <v>2.3964944699999999</v>
      </c>
      <c r="G62" s="14">
        <v>81.435814699999995</v>
      </c>
      <c r="H62" s="16">
        <v>2.3964944699999999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35.631214909999997</v>
      </c>
      <c r="F66" s="16">
        <v>2.2535338</v>
      </c>
      <c r="G66" s="14">
        <v>64.368785090000003</v>
      </c>
      <c r="H66" s="16">
        <v>2.2535338</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28.540553129999999</v>
      </c>
      <c r="F67" s="16">
        <v>2.2758969100000002</v>
      </c>
      <c r="G67" s="14">
        <v>71.459446869999994</v>
      </c>
      <c r="H67" s="16">
        <v>2.2758969100000002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20.608334240000001</v>
      </c>
      <c r="F70" s="16">
        <v>2.34766656</v>
      </c>
      <c r="G70" s="14">
        <v>79.391665759999995</v>
      </c>
      <c r="H70" s="16">
        <v>2.34766656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25.020759630000001</v>
      </c>
      <c r="F72" s="16">
        <v>1.74368725</v>
      </c>
      <c r="G72" s="14">
        <v>74.979240369999999</v>
      </c>
      <c r="H72" s="16">
        <v>1.74368725</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38.574486380000003</v>
      </c>
      <c r="F73" s="16">
        <v>2.2731643500000001</v>
      </c>
      <c r="G73" s="14">
        <v>61.425513619999997</v>
      </c>
      <c r="H73" s="16">
        <v>2.2731643500000001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48.263559549999997</v>
      </c>
      <c r="F75" s="16">
        <v>2.5603996699999998</v>
      </c>
      <c r="G75" s="14">
        <v>51.736440450000003</v>
      </c>
      <c r="H75" s="16">
        <v>2.5603996699999998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34.865658420000003</v>
      </c>
      <c r="F76" s="16">
        <v>1.85675843</v>
      </c>
      <c r="G76" s="14">
        <v>65.134341579999997</v>
      </c>
      <c r="H76" s="16">
        <v>1.85675843</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29.573796470000001</v>
      </c>
      <c r="F77" s="16">
        <v>1.7550411299999999</v>
      </c>
      <c r="G77" s="14">
        <v>70.426203529999995</v>
      </c>
      <c r="H77" s="16">
        <v>1.7550411299999999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34.650263359999997</v>
      </c>
      <c r="F81" s="16">
        <v>2.1285688899999999</v>
      </c>
      <c r="G81" s="14">
        <v>65.349736640000003</v>
      </c>
      <c r="H81" s="16">
        <v>2.1285688899999999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48.376651189999997</v>
      </c>
      <c r="F7" s="16">
        <v>1.7910066899999999</v>
      </c>
      <c r="G7" s="14">
        <v>51.623348810000003</v>
      </c>
      <c r="H7" s="16">
        <v>1.7910066899999999</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53.61979324</v>
      </c>
      <c r="F8" s="16">
        <v>2.06154628</v>
      </c>
      <c r="G8" s="14">
        <v>46.38020676</v>
      </c>
      <c r="H8" s="16">
        <v>2.06154628</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48.28200082</v>
      </c>
      <c r="F9" s="16">
        <v>1.9597684200000001</v>
      </c>
      <c r="G9" s="14">
        <v>51.71799918</v>
      </c>
      <c r="H9" s="16">
        <v>1.9597684200000001</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44.411770730000001</v>
      </c>
      <c r="F10" s="16">
        <v>1.423335</v>
      </c>
      <c r="G10" s="14">
        <v>55.588229269999999</v>
      </c>
      <c r="H10" s="16">
        <v>1.423335</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61.710932329999999</v>
      </c>
      <c r="F11" s="16">
        <v>2.7085410300000001</v>
      </c>
      <c r="G11" s="14">
        <v>38.289067670000001</v>
      </c>
      <c r="H11" s="16">
        <v>2.7085410300000001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60.57166342</v>
      </c>
      <c r="F12" s="16">
        <v>2.3476025900000002</v>
      </c>
      <c r="G12" s="14">
        <v>39.42833658</v>
      </c>
      <c r="H12" s="16">
        <v>2.3476025900000002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53.931975790000003</v>
      </c>
      <c r="F13" s="16">
        <v>2.8545079499999999</v>
      </c>
      <c r="G13" s="14">
        <v>46.068024209999997</v>
      </c>
      <c r="H13" s="16">
        <v>2.8545079499999999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47.931991240000002</v>
      </c>
      <c r="F14" s="16">
        <v>2.4948157100000001</v>
      </c>
      <c r="G14" s="14">
        <v>52.068008759999998</v>
      </c>
      <c r="H14" s="16">
        <v>2.4948157100000001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40.676666240000003</v>
      </c>
      <c r="F15" s="16">
        <v>2.1643409</v>
      </c>
      <c r="G15" s="14">
        <v>59.323333759999997</v>
      </c>
      <c r="H15" s="16">
        <v>2.1643409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51.474980350000003</v>
      </c>
      <c r="F16" s="16">
        <v>2.2852796099999999</v>
      </c>
      <c r="G16" s="14">
        <v>48.525019649999997</v>
      </c>
      <c r="H16" s="16">
        <v>2.2852796099999999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47.024090399999999</v>
      </c>
      <c r="F17" s="16">
        <v>2.0671988099999998</v>
      </c>
      <c r="G17" s="14">
        <v>52.975909600000001</v>
      </c>
      <c r="H17" s="16">
        <v>2.0671988099999998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64.898086169999999</v>
      </c>
      <c r="F18" s="16">
        <v>2.6727208999999998</v>
      </c>
      <c r="G18" s="14">
        <v>35.101913830000001</v>
      </c>
      <c r="H18" s="16">
        <v>2.6727208999999998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62.082068929999998</v>
      </c>
      <c r="F19" s="16">
        <v>2.6591704300000001</v>
      </c>
      <c r="G19" s="14">
        <v>37.917931070000002</v>
      </c>
      <c r="H19" s="16">
        <v>2.6591704300000001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51.001082160000003</v>
      </c>
      <c r="F20" s="16">
        <v>3.2854052299999998</v>
      </c>
      <c r="G20" s="14">
        <v>48.998917839999997</v>
      </c>
      <c r="H20" s="16">
        <v>3.2854052299999998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63.700296180000002</v>
      </c>
      <c r="F22" s="16">
        <v>2.5543208900000001</v>
      </c>
      <c r="G22" s="14">
        <v>36.299703819999998</v>
      </c>
      <c r="H22" s="16">
        <v>2.5543208900000001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49.537188819999997</v>
      </c>
      <c r="F23" s="16">
        <v>2.91092189</v>
      </c>
      <c r="G23" s="14">
        <v>50.462811180000003</v>
      </c>
      <c r="H23" s="16">
        <v>2.91092189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41.804563399999999</v>
      </c>
      <c r="F24" s="16">
        <v>2.2749551399999999</v>
      </c>
      <c r="G24" s="14">
        <v>58.195436600000001</v>
      </c>
      <c r="H24" s="16">
        <v>2.2749551399999999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40.190153520000003</v>
      </c>
      <c r="F25" s="16">
        <v>2.29947458</v>
      </c>
      <c r="G25" s="14">
        <v>59.809846479999997</v>
      </c>
      <c r="H25" s="16">
        <v>2.29947458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58.51560396</v>
      </c>
      <c r="F26" s="16">
        <v>2.5123971100000002</v>
      </c>
      <c r="G26" s="14">
        <v>41.48439604</v>
      </c>
      <c r="H26" s="16">
        <v>2.5123971100000002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51.526300650000003</v>
      </c>
      <c r="F27" s="16">
        <v>2.6131406899999998</v>
      </c>
      <c r="G27" s="14">
        <v>48.473699349999997</v>
      </c>
      <c r="H27" s="16">
        <v>2.6131406899999998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79.874657659999997</v>
      </c>
      <c r="F28" s="16">
        <v>1.9685661800000001</v>
      </c>
      <c r="G28" s="14">
        <v>20.12534234</v>
      </c>
      <c r="H28" s="16">
        <v>1.9685661800000001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44.951580329999999</v>
      </c>
      <c r="F29" s="16">
        <v>2.6159923200000001</v>
      </c>
      <c r="G29" s="14">
        <v>55.048419670000001</v>
      </c>
      <c r="H29" s="16">
        <v>2.6159923200000001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42.122555179999999</v>
      </c>
      <c r="F30" s="16">
        <v>2.6886636199999998</v>
      </c>
      <c r="G30" s="14">
        <v>57.877444820000001</v>
      </c>
      <c r="H30" s="16">
        <v>2.6886636199999998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52.750723690000001</v>
      </c>
      <c r="F31" s="16">
        <v>2.4873790599999999</v>
      </c>
      <c r="G31" s="14">
        <v>47.249276309999999</v>
      </c>
      <c r="H31" s="16">
        <v>2.4873790599999999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50.701499040000002</v>
      </c>
      <c r="F33" s="16">
        <v>2.6571480300000001</v>
      </c>
      <c r="G33" s="14">
        <v>49.298500959999998</v>
      </c>
      <c r="H33" s="16">
        <v>2.6571480300000001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65.233180219999994</v>
      </c>
      <c r="F34" s="16">
        <v>1.9529210299999999</v>
      </c>
      <c r="G34" s="14">
        <v>34.766819779999999</v>
      </c>
      <c r="H34" s="16">
        <v>1.9529210299999999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58.636271559999997</v>
      </c>
      <c r="F35" s="16">
        <v>3.0036641099999999</v>
      </c>
      <c r="G35" s="14">
        <v>41.363728440000003</v>
      </c>
      <c r="H35" s="16">
        <v>3.0036641099999999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49.324259120000001</v>
      </c>
      <c r="F36" s="16">
        <v>2.4753260899999998</v>
      </c>
      <c r="G36" s="14">
        <v>50.675740879999999</v>
      </c>
      <c r="H36" s="16">
        <v>2.4753260899999998</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51.375231110000001</v>
      </c>
      <c r="F37" s="16">
        <v>2.7265341300000001</v>
      </c>
      <c r="G37" s="14">
        <v>48.624768889999999</v>
      </c>
      <c r="H37" s="16">
        <v>2.7265341300000001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84.568449909999998</v>
      </c>
      <c r="F39" s="16">
        <v>1.8145441099999999</v>
      </c>
      <c r="G39" s="14">
        <v>15.43155009</v>
      </c>
      <c r="H39" s="16">
        <v>1.8145441099999999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(5730/B40*100)</f>
        <v>82.779543484542046</v>
      </c>
      <c r="D40" s="15">
        <v>1192</v>
      </c>
      <c r="E40" s="14">
        <v>46.480306229999997</v>
      </c>
      <c r="F40" s="16">
        <v>2.1542796000000002</v>
      </c>
      <c r="G40" s="14">
        <v>53.519693770000003</v>
      </c>
      <c r="H40" s="16">
        <v>2.1542796000000002</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45.045040649999997</v>
      </c>
      <c r="F41" s="16">
        <v>2.7621442300000001</v>
      </c>
      <c r="G41" s="14">
        <v>54.954959350000003</v>
      </c>
      <c r="H41" s="16">
        <v>2.7621442300000001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53.510362945000004</v>
      </c>
      <c r="F42" s="16">
        <f>IF(COUNT(F7:F41) &gt; 0, SQRT(SUMSQ(F7:F41)/(COUNT(F7:F41)*COUNT(F7:F41)) ), "—")</f>
        <v>0.43243666173242595</v>
      </c>
      <c r="G42" s="14">
        <f>IF(COUNT(G7:G41) &gt; 0, AVERAGE(G7:G41), "—")</f>
        <v>46.489637054999989</v>
      </c>
      <c r="H42" s="16">
        <f>IF(COUNT(H7:H41) &gt; 0, SQRT(SUMSQ(H7:H41)/(COUNT(H7:H41)*COUNT(H7:H41)) ), "—")</f>
        <v>0.43243666173242595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77.209906149999995</v>
      </c>
      <c r="F46" s="16">
        <v>1.7146069900000001</v>
      </c>
      <c r="G46" s="14">
        <v>22.790093850000002</v>
      </c>
      <c r="H46" s="16">
        <v>1.7146069900000001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70.489999530000006</v>
      </c>
      <c r="F47" s="16">
        <v>2.2604944699999998</v>
      </c>
      <c r="G47" s="14">
        <v>29.510000470000001</v>
      </c>
      <c r="H47" s="16">
        <v>2.2604944699999998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56.540544740000001</v>
      </c>
      <c r="F48" s="16">
        <v>2.31458969</v>
      </c>
      <c r="G48" s="14">
        <v>43.459455259999999</v>
      </c>
      <c r="H48" s="16">
        <v>2.31458969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78.63177417</v>
      </c>
      <c r="F50" s="16">
        <v>1.6900753799999999</v>
      </c>
      <c r="G50" s="14">
        <v>21.36822583</v>
      </c>
      <c r="H50" s="16">
        <v>1.6900753799999999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72.721216839999997</v>
      </c>
      <c r="F51" s="16">
        <v>2.3240331200000002</v>
      </c>
      <c r="G51" s="14">
        <v>27.27878316</v>
      </c>
      <c r="H51" s="16">
        <v>2.3240331200000002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67.870745580000005</v>
      </c>
      <c r="F52" s="16">
        <v>2.5206299099999998</v>
      </c>
      <c r="G52" s="14">
        <v>32.129254420000002</v>
      </c>
      <c r="H52" s="16">
        <v>2.5206299099999998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68.891047220000004</v>
      </c>
      <c r="F53" s="16">
        <v>2.4173249999999999</v>
      </c>
      <c r="G53" s="14">
        <v>31.108952779999999</v>
      </c>
      <c r="H53" s="16">
        <v>2.4173249999999999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34.047508479999998</v>
      </c>
      <c r="F56" s="16">
        <v>2.1191095400000002</v>
      </c>
      <c r="G56" s="14">
        <v>65.952491519999995</v>
      </c>
      <c r="H56" s="16">
        <v>2.1191095400000002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62.302777220000003</v>
      </c>
      <c r="F61" s="16">
        <v>2.4606120599999999</v>
      </c>
      <c r="G61" s="14">
        <v>37.697222779999997</v>
      </c>
      <c r="H61" s="16">
        <v>2.4606120599999999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37.990091990000003</v>
      </c>
      <c r="F62" s="16">
        <v>2.6817124300000001</v>
      </c>
      <c r="G62" s="14">
        <v>62.009908009999997</v>
      </c>
      <c r="H62" s="16">
        <v>2.6817124300000001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80.105417040000006</v>
      </c>
      <c r="F66" s="16">
        <v>2.0222388599999999</v>
      </c>
      <c r="G66" s="14">
        <v>19.894582960000001</v>
      </c>
      <c r="H66" s="16">
        <v>2.0222388599999999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73.122350839999996</v>
      </c>
      <c r="F67" s="16">
        <v>2.5391413900000002</v>
      </c>
      <c r="G67" s="14">
        <v>26.877649160000001</v>
      </c>
      <c r="H67" s="16">
        <v>2.5391413900000002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59.717384770000002</v>
      </c>
      <c r="F70" s="16">
        <v>2.6293451000000001</v>
      </c>
      <c r="G70" s="14">
        <v>40.282615229999998</v>
      </c>
      <c r="H70" s="16">
        <v>2.6293451000000001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43.747874279999998</v>
      </c>
      <c r="F72" s="16">
        <v>2.1587802100000002</v>
      </c>
      <c r="G72" s="14">
        <v>56.252125720000002</v>
      </c>
      <c r="H72" s="16">
        <v>2.1587802100000002</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73.476461060000005</v>
      </c>
      <c r="F73" s="16">
        <v>2.1747513600000001</v>
      </c>
      <c r="G73" s="14">
        <v>26.523538940000002</v>
      </c>
      <c r="H73" s="16">
        <v>2.1747513600000001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89.969747100000006</v>
      </c>
      <c r="F75" s="16">
        <v>1.46311663</v>
      </c>
      <c r="G75" s="14">
        <v>10.030252900000001</v>
      </c>
      <c r="H75" s="16">
        <v>1.46311663</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77.359412660000004</v>
      </c>
      <c r="F76" s="16">
        <v>1.80409065</v>
      </c>
      <c r="G76" s="14">
        <v>22.64058734</v>
      </c>
      <c r="H76" s="16">
        <v>1.80409065</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63.322929569999999</v>
      </c>
      <c r="F77" s="16">
        <v>2.2371599999999998</v>
      </c>
      <c r="G77" s="14">
        <v>36.677070430000001</v>
      </c>
      <c r="H77" s="16">
        <v>2.2371599999999998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75.028327020000006</v>
      </c>
      <c r="F81" s="16">
        <v>1.97105112</v>
      </c>
      <c r="G81" s="14">
        <v>24.971672980000001</v>
      </c>
      <c r="H81" s="16">
        <v>1.97105112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(6056/B7*100)</f>
        <v>84.545581460282008</v>
      </c>
      <c r="D7" s="15">
        <v>1107</v>
      </c>
      <c r="E7" s="14">
        <v>19.619703229999999</v>
      </c>
      <c r="F7" s="16">
        <v>1.26559796</v>
      </c>
      <c r="G7" s="14">
        <v>80.380296770000001</v>
      </c>
      <c r="H7" s="16">
        <v>1.26559796</v>
      </c>
      <c r="I7" s="14" t="s">
        <v>139</v>
      </c>
      <c r="J7" s="16" t="s">
        <v>139</v>
      </c>
      <c r="K7" s="14">
        <v>0</v>
      </c>
      <c r="L7" s="16">
        <v>0</v>
      </c>
      <c r="M7" s="14">
        <v>0</v>
      </c>
      <c r="N7" s="16">
        <v>0</v>
      </c>
      <c r="O7" s="14">
        <v>0</v>
      </c>
      <c r="P7" s="16">
        <v>0</v>
      </c>
      <c r="Q7" s="14">
        <v>0</v>
      </c>
      <c r="R7" s="16">
        <v>0</v>
      </c>
    </row>
    <row r="8" spans="1:18" x14ac:dyDescent="0.25">
      <c r="A8" s="11" t="s">
        <v>140</v>
      </c>
      <c r="B8" s="13">
        <v>3443</v>
      </c>
      <c r="C8" s="14">
        <f>(2893/B8*100)</f>
        <v>84.025559105431313</v>
      </c>
      <c r="D8" s="15">
        <v>550</v>
      </c>
      <c r="E8" s="14">
        <v>18.767990489999999</v>
      </c>
      <c r="F8" s="16">
        <v>1.6008901099999999</v>
      </c>
      <c r="G8" s="14">
        <v>81.232009509999997</v>
      </c>
      <c r="H8" s="16">
        <v>1.6008901099999999</v>
      </c>
      <c r="I8" s="14" t="s">
        <v>139</v>
      </c>
      <c r="J8" s="16" t="s">
        <v>139</v>
      </c>
      <c r="K8" s="14">
        <v>0</v>
      </c>
      <c r="L8" s="16">
        <v>0</v>
      </c>
      <c r="M8" s="14">
        <v>0</v>
      </c>
      <c r="N8" s="16">
        <v>0</v>
      </c>
      <c r="O8" s="14">
        <v>0</v>
      </c>
      <c r="P8" s="16">
        <v>0</v>
      </c>
      <c r="Q8" s="14">
        <v>0</v>
      </c>
      <c r="R8" s="16">
        <v>0</v>
      </c>
    </row>
    <row r="9" spans="1:18" x14ac:dyDescent="0.25">
      <c r="A9" s="11" t="s">
        <v>141</v>
      </c>
      <c r="B9" s="13">
        <v>4752</v>
      </c>
      <c r="C9" s="14">
        <f>(4034/B9*100)</f>
        <v>84.890572390572387</v>
      </c>
      <c r="D9" s="15">
        <v>718</v>
      </c>
      <c r="E9" s="14">
        <v>23.364742849999999</v>
      </c>
      <c r="F9" s="16">
        <v>1.9917660500000001</v>
      </c>
      <c r="G9" s="14">
        <v>76.635257150000001</v>
      </c>
      <c r="H9" s="16">
        <v>1.9917660500000001</v>
      </c>
      <c r="I9" s="14" t="s">
        <v>139</v>
      </c>
      <c r="J9" s="16" t="s">
        <v>139</v>
      </c>
      <c r="K9" s="14">
        <v>0</v>
      </c>
      <c r="L9" s="16">
        <v>0</v>
      </c>
      <c r="M9" s="14">
        <v>0</v>
      </c>
      <c r="N9" s="16">
        <v>0</v>
      </c>
      <c r="O9" s="14">
        <v>0</v>
      </c>
      <c r="P9" s="16">
        <v>0</v>
      </c>
      <c r="Q9" s="14">
        <v>0</v>
      </c>
      <c r="R9" s="16">
        <v>0</v>
      </c>
    </row>
    <row r="10" spans="1:18" x14ac:dyDescent="0.25">
      <c r="A10" s="11" t="s">
        <v>142</v>
      </c>
      <c r="B10" s="13">
        <v>10022</v>
      </c>
      <c r="C10" s="14">
        <f>(8364/B10*100)</f>
        <v>83.456395928956297</v>
      </c>
      <c r="D10" s="15">
        <v>1658</v>
      </c>
      <c r="E10" s="14">
        <v>16.3978134</v>
      </c>
      <c r="F10" s="16">
        <v>1.2289089200000001</v>
      </c>
      <c r="G10" s="14">
        <v>83.602186599999996</v>
      </c>
      <c r="H10" s="16">
        <v>1.2289089200000001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(2979/B11*100)</f>
        <v>85.114285714285714</v>
      </c>
      <c r="D11" s="15">
        <v>521</v>
      </c>
      <c r="E11" s="14">
        <v>37.537593889999997</v>
      </c>
      <c r="F11" s="16">
        <v>2.2178261199999998</v>
      </c>
      <c r="G11" s="14">
        <v>62.462406110000003</v>
      </c>
      <c r="H11" s="16">
        <v>2.2178261199999998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(2872/B12*100)</f>
        <v>83.927527761542947</v>
      </c>
      <c r="D12" s="15">
        <v>550</v>
      </c>
      <c r="E12" s="14">
        <v>24.060744830000001</v>
      </c>
      <c r="F12" s="16">
        <v>2.0441653</v>
      </c>
      <c r="G12" s="14">
        <v>75.939255169999996</v>
      </c>
      <c r="H12" s="16">
        <v>2.0441653</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(3066/B13*100)</f>
        <v>85.119378123264852</v>
      </c>
      <c r="D13" s="15">
        <v>536</v>
      </c>
      <c r="E13" s="14">
        <v>11.90524242</v>
      </c>
      <c r="F13" s="16">
        <v>1.5929978600000001</v>
      </c>
      <c r="G13" s="14">
        <v>88.094757580000007</v>
      </c>
      <c r="H13" s="16">
        <v>1.5929978600000001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(2331/B14*100)</f>
        <v>83.608321377331421</v>
      </c>
      <c r="D14" s="15">
        <v>457</v>
      </c>
      <c r="E14" s="14">
        <v>14.56034936</v>
      </c>
      <c r="F14" s="16">
        <v>1.7437997199999999</v>
      </c>
      <c r="G14" s="14">
        <v>85.439650639999996</v>
      </c>
      <c r="H14" s="16">
        <v>1.7437997199999999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(2394/B15*100)</f>
        <v>83.618581907090459</v>
      </c>
      <c r="D15" s="15">
        <v>469</v>
      </c>
      <c r="E15" s="14">
        <v>9.9134569799999994</v>
      </c>
      <c r="F15" s="16">
        <v>1.2173727700000001</v>
      </c>
      <c r="G15" s="14">
        <v>90.086543019999993</v>
      </c>
      <c r="H15" s="16">
        <v>1.2173727700000001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(2597/B16*100)</f>
        <v>83.477981356477017</v>
      </c>
      <c r="D16" s="15">
        <v>514</v>
      </c>
      <c r="E16" s="14">
        <v>19.42210171</v>
      </c>
      <c r="F16" s="16">
        <v>1.7906995999999999</v>
      </c>
      <c r="G16" s="14">
        <v>80.577898289999993</v>
      </c>
      <c r="H16" s="16">
        <v>1.7906995999999999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(2687/B17*100)</f>
        <v>84.047544573037229</v>
      </c>
      <c r="D17" s="15">
        <v>510</v>
      </c>
      <c r="E17" s="14">
        <v>16.938675629999999</v>
      </c>
      <c r="F17" s="16">
        <v>1.78867442</v>
      </c>
      <c r="G17" s="14">
        <v>83.061324369999994</v>
      </c>
      <c r="H17" s="16">
        <v>1.78867442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(2290/B18*100)</f>
        <v>84.626755358462674</v>
      </c>
      <c r="D18" s="15">
        <v>416</v>
      </c>
      <c r="E18" s="14">
        <v>31.952413960000001</v>
      </c>
      <c r="F18" s="16">
        <v>2.3133083600000002</v>
      </c>
      <c r="G18" s="14">
        <v>68.047586039999999</v>
      </c>
      <c r="H18" s="16">
        <v>2.3133083600000002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(2405/B19*100)</f>
        <v>84.385964912280699</v>
      </c>
      <c r="D19" s="15">
        <v>445</v>
      </c>
      <c r="E19" s="14">
        <v>26.48508211</v>
      </c>
      <c r="F19" s="16">
        <v>2.2253329700000002</v>
      </c>
      <c r="G19" s="14">
        <v>73.514917890000007</v>
      </c>
      <c r="H19" s="16">
        <v>2.2253329700000002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(1480/B20*100)</f>
        <v>85.008615738081559</v>
      </c>
      <c r="D20" s="15">
        <v>261</v>
      </c>
      <c r="E20" s="14">
        <v>20.082936979999999</v>
      </c>
      <c r="F20" s="16">
        <v>2.37390569</v>
      </c>
      <c r="G20" s="14">
        <v>79.917063020000001</v>
      </c>
      <c r="H20" s="16">
        <v>2.37390569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(3148/B22*100)</f>
        <v>85.846741205344969</v>
      </c>
      <c r="D22" s="15">
        <v>519</v>
      </c>
      <c r="E22" s="14">
        <v>37.055725410000001</v>
      </c>
      <c r="F22" s="16">
        <v>2.7655132</v>
      </c>
      <c r="G22" s="14">
        <v>62.944274589999999</v>
      </c>
      <c r="H22" s="16">
        <v>2.7655132</v>
      </c>
      <c r="I22" s="14" t="s">
        <v>139</v>
      </c>
      <c r="J22" s="16" t="s">
        <v>139</v>
      </c>
      <c r="K22" s="14">
        <v>0</v>
      </c>
      <c r="L22" s="16">
        <v>0</v>
      </c>
      <c r="M22" s="14">
        <v>0</v>
      </c>
      <c r="N22" s="16">
        <v>0</v>
      </c>
      <c r="O22" s="14">
        <v>0</v>
      </c>
      <c r="P22" s="16">
        <v>0</v>
      </c>
      <c r="Q22" s="14">
        <v>0</v>
      </c>
      <c r="R22" s="16">
        <v>0</v>
      </c>
    </row>
    <row r="23" spans="1:18" x14ac:dyDescent="0.25">
      <c r="A23" s="11" t="s">
        <v>156</v>
      </c>
      <c r="B23" s="13">
        <v>5792</v>
      </c>
      <c r="C23" s="14">
        <f>(4875/B23*100)</f>
        <v>84.167817679558013</v>
      </c>
      <c r="D23" s="15">
        <v>917</v>
      </c>
      <c r="E23" s="14">
        <v>29.725387399999999</v>
      </c>
      <c r="F23" s="16">
        <v>2.7675982600000002</v>
      </c>
      <c r="G23" s="14">
        <v>70.274612599999998</v>
      </c>
      <c r="H23" s="16">
        <v>2.7675982600000002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(2740/B24*100)</f>
        <v>82.804472650347535</v>
      </c>
      <c r="D24" s="15">
        <v>569</v>
      </c>
      <c r="E24" s="14">
        <v>17.388375920000001</v>
      </c>
      <c r="F24" s="16">
        <v>1.75787491</v>
      </c>
      <c r="G24" s="14">
        <v>82.611624079999999</v>
      </c>
      <c r="H24" s="16">
        <v>1.75787491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(2203/B25*100)</f>
        <v>82.540277257399779</v>
      </c>
      <c r="D25" s="15">
        <v>466</v>
      </c>
      <c r="E25" s="14">
        <v>19.028835839999999</v>
      </c>
      <c r="F25" s="16">
        <v>2.02871318</v>
      </c>
      <c r="G25" s="14">
        <v>80.971164160000001</v>
      </c>
      <c r="H25" s="16">
        <v>2.02871318</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21.728993060000001</v>
      </c>
      <c r="F26" s="16">
        <v>2.1899917599999998</v>
      </c>
      <c r="G26" s="14">
        <v>78.271006940000007</v>
      </c>
      <c r="H26" s="16">
        <v>2.1899917599999998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(2284/B27*100)</f>
        <v>85.128587402161756</v>
      </c>
      <c r="D27" s="15">
        <v>399</v>
      </c>
      <c r="E27" s="14">
        <v>16.53670121</v>
      </c>
      <c r="F27" s="16">
        <v>1.8695814399999999</v>
      </c>
      <c r="G27" s="14">
        <v>83.463298789999996</v>
      </c>
      <c r="H27" s="16">
        <v>1.8695814399999999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(3267/B28*100)</f>
        <v>85.905863791743371</v>
      </c>
      <c r="D28" s="15">
        <v>536</v>
      </c>
      <c r="E28" s="14">
        <v>43.457915190000001</v>
      </c>
      <c r="F28" s="16">
        <v>1.9708880799999999</v>
      </c>
      <c r="G28" s="14">
        <v>56.542084809999999</v>
      </c>
      <c r="H28" s="16">
        <v>1.9708880799999999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(2243/B29*100)</f>
        <v>83.074074074074076</v>
      </c>
      <c r="D29" s="15">
        <v>457</v>
      </c>
      <c r="E29" s="14">
        <v>24.373912950000001</v>
      </c>
      <c r="F29" s="16">
        <v>1.9973876100000001</v>
      </c>
      <c r="G29" s="14">
        <v>75.626087049999995</v>
      </c>
      <c r="H29" s="16">
        <v>1.9973876100000001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(1913/B30*100)</f>
        <v>84.758529020824099</v>
      </c>
      <c r="D30" s="15">
        <v>344</v>
      </c>
      <c r="E30" s="14">
        <v>19.082685099999999</v>
      </c>
      <c r="F30" s="16">
        <v>2.2272244699999999</v>
      </c>
      <c r="G30" s="14">
        <v>80.917314899999994</v>
      </c>
      <c r="H30" s="16">
        <v>2.2272244699999999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(2241/B31*100)</f>
        <v>82.815964523281593</v>
      </c>
      <c r="D31" s="15">
        <v>465</v>
      </c>
      <c r="E31" s="14">
        <v>18.276527869999999</v>
      </c>
      <c r="F31" s="16">
        <v>1.93742982</v>
      </c>
      <c r="G31" s="14">
        <v>81.723472130000005</v>
      </c>
      <c r="H31" s="16">
        <v>1.93742982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20.217336800000002</v>
      </c>
      <c r="F33" s="16">
        <v>2.0036554199999999</v>
      </c>
      <c r="G33" s="14">
        <v>79.782663200000002</v>
      </c>
      <c r="H33" s="16">
        <v>2.0036554199999999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(2612/B34*100)</f>
        <v>86.062602965403627</v>
      </c>
      <c r="D34" s="15">
        <v>423</v>
      </c>
      <c r="E34" s="14">
        <v>27.95904578</v>
      </c>
      <c r="F34" s="16">
        <v>2.3902644899999999</v>
      </c>
      <c r="G34" s="14">
        <v>72.040954220000003</v>
      </c>
      <c r="H34" s="16">
        <v>2.3902644899999999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19.610194719999999</v>
      </c>
      <c r="F35" s="16">
        <v>2.2564121199999998</v>
      </c>
      <c r="G35" s="14">
        <v>80.389805280000004</v>
      </c>
      <c r="H35" s="16">
        <v>2.2564121199999998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(2879/B36*100)</f>
        <v>84.576968272620448</v>
      </c>
      <c r="D36" s="15">
        <v>525</v>
      </c>
      <c r="E36" s="14">
        <v>22.020802920000001</v>
      </c>
      <c r="F36" s="16">
        <v>2.3834281599999998</v>
      </c>
      <c r="G36" s="14">
        <v>77.979197080000006</v>
      </c>
      <c r="H36" s="16">
        <v>2.3834281599999998</v>
      </c>
      <c r="I36" s="14" t="s">
        <v>139</v>
      </c>
      <c r="J36" s="16" t="s">
        <v>139</v>
      </c>
      <c r="K36" s="14">
        <v>0</v>
      </c>
      <c r="L36" s="16">
        <v>0</v>
      </c>
      <c r="M36" s="14">
        <v>0</v>
      </c>
      <c r="N36" s="16">
        <v>0</v>
      </c>
      <c r="O36" s="14">
        <v>0</v>
      </c>
      <c r="P36" s="16">
        <v>0</v>
      </c>
      <c r="Q36" s="14">
        <v>0</v>
      </c>
      <c r="R36" s="16">
        <v>0</v>
      </c>
    </row>
    <row r="37" spans="1:18" x14ac:dyDescent="0.25">
      <c r="A37" s="11" t="s">
        <v>170</v>
      </c>
      <c r="B37" s="13">
        <v>2731</v>
      </c>
      <c r="C37" s="14">
        <f>(2316/B37*100)</f>
        <v>84.804101061882093</v>
      </c>
      <c r="D37" s="15">
        <v>415</v>
      </c>
      <c r="E37" s="14">
        <v>15.668413470000001</v>
      </c>
      <c r="F37" s="16">
        <v>1.7904299100000001</v>
      </c>
      <c r="G37" s="14">
        <v>84.331586529999996</v>
      </c>
      <c r="H37" s="16">
        <v>1.7904299100000001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(2429/B39*100)</f>
        <v>82.675289312457451</v>
      </c>
      <c r="D39" s="15">
        <v>509</v>
      </c>
      <c r="E39" s="14">
        <v>72.726695629999995</v>
      </c>
      <c r="F39" s="16">
        <v>2.4347658700000001</v>
      </c>
      <c r="G39" s="14">
        <v>27.273304370000002</v>
      </c>
      <c r="H39" s="16">
        <v>2.4347658700000001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(5730/B40*100)</f>
        <v>82.779543484542046</v>
      </c>
      <c r="D40" s="15">
        <v>1192</v>
      </c>
      <c r="E40" s="14">
        <v>16.79172058</v>
      </c>
      <c r="F40" s="16">
        <v>1.5715011699999999</v>
      </c>
      <c r="G40" s="14">
        <v>83.208279419999997</v>
      </c>
      <c r="H40" s="16">
        <v>1.5715011699999999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(2413/B41*100)</f>
        <v>84.548002803083392</v>
      </c>
      <c r="D41" s="15">
        <v>441</v>
      </c>
      <c r="E41" s="14">
        <v>24.911785139999999</v>
      </c>
      <c r="F41" s="16">
        <v>2.4890751299999998</v>
      </c>
      <c r="G41" s="14">
        <v>75.088214859999994</v>
      </c>
      <c r="H41" s="16">
        <v>2.4890751299999998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84.176288209186907</v>
      </c>
      <c r="D42" s="15">
        <f>IF(COUNT(D7:D41) &gt; 0, AVERAGE(D7:D41), "—")</f>
        <v>573.0625</v>
      </c>
      <c r="E42" s="14">
        <f>IF(COUNT(E7:E41) &gt; 0, AVERAGE(E7:E41), "—")</f>
        <v>23.674059463437498</v>
      </c>
      <c r="F42" s="16">
        <f>IF(COUNT(F7:F41) &gt; 0, SQRT(SUMSQ(F7:F41)/(COUNT(F7:F41)*COUNT(F7:F41)) ), "—")</f>
        <v>0.36152429631156285</v>
      </c>
      <c r="G42" s="14">
        <f>IF(COUNT(G7:G41) &gt; 0, AVERAGE(G7:G41), "—")</f>
        <v>76.325940536562513</v>
      </c>
      <c r="H42" s="16">
        <f>IF(COUNT(H7:H41) &gt; 0, SQRT(SUMSQ(H7:H41)/(COUNT(H7:H41)*COUNT(H7:H41)) ), "—")</f>
        <v>0.36152429631156285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(10742/B46*100)</f>
        <v>88.975399652116295</v>
      </c>
      <c r="D46" s="15">
        <v>1331</v>
      </c>
      <c r="E46" s="14">
        <v>47.128288120000001</v>
      </c>
      <c r="F46" s="16">
        <v>1.98623708</v>
      </c>
      <c r="G46" s="14">
        <v>52.871711879999999</v>
      </c>
      <c r="H46" s="16">
        <v>1.98623708</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(2399/B47*100)</f>
        <v>84.980517180304645</v>
      </c>
      <c r="D47" s="15">
        <v>424</v>
      </c>
      <c r="E47" s="14">
        <v>37.188545269999999</v>
      </c>
      <c r="F47" s="16">
        <v>2.62222423</v>
      </c>
      <c r="G47" s="14">
        <v>62.811454730000001</v>
      </c>
      <c r="H47" s="16">
        <v>2.62222423</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(3907/B48*100)</f>
        <v>83.44724476719351</v>
      </c>
      <c r="D48" s="15">
        <v>775</v>
      </c>
      <c r="E48" s="14">
        <v>28.243802909999999</v>
      </c>
      <c r="F48" s="16">
        <v>2.1083830400000001</v>
      </c>
      <c r="G48" s="14">
        <v>71.756197090000001</v>
      </c>
      <c r="H48" s="16">
        <v>2.1083830400000001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(5247/B50*100)</f>
        <v>85.206235790841177</v>
      </c>
      <c r="D50" s="15">
        <v>911</v>
      </c>
      <c r="E50" s="14">
        <v>54.521762760000001</v>
      </c>
      <c r="F50" s="16">
        <v>2.0224453499999999</v>
      </c>
      <c r="G50" s="14">
        <v>45.478237239999999</v>
      </c>
      <c r="H50" s="16">
        <v>2.0224453499999999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(3039/B51*100)</f>
        <v>86.977676016027473</v>
      </c>
      <c r="D51" s="15">
        <v>455</v>
      </c>
      <c r="E51" s="14">
        <v>34.080890429999997</v>
      </c>
      <c r="F51" s="16">
        <v>2.29237504</v>
      </c>
      <c r="G51" s="14">
        <v>65.919109570000003</v>
      </c>
      <c r="H51" s="16">
        <v>2.29237504</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(2503/B52*100)</f>
        <v>83.073348821772313</v>
      </c>
      <c r="D52" s="15">
        <v>510</v>
      </c>
      <c r="E52" s="14">
        <v>29.76322059</v>
      </c>
      <c r="F52" s="16">
        <v>1.8762769500000001</v>
      </c>
      <c r="G52" s="14">
        <v>70.236779409999997</v>
      </c>
      <c r="H52" s="16">
        <v>1.8762769500000001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(2317/B53*100)</f>
        <v>83.949275362318843</v>
      </c>
      <c r="D53" s="15">
        <v>443</v>
      </c>
      <c r="E53" s="14">
        <v>38.963418920000002</v>
      </c>
      <c r="F53" s="16">
        <v>2.3723362200000002</v>
      </c>
      <c r="G53" s="14">
        <v>61.036581079999998</v>
      </c>
      <c r="H53" s="16">
        <v>2.3723362200000002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(2218/B56*100)</f>
        <v>82.915887850467286</v>
      </c>
      <c r="D56" s="15">
        <v>457</v>
      </c>
      <c r="E56" s="14">
        <v>17.576639920000002</v>
      </c>
      <c r="F56" s="16">
        <v>2.4909087699999999</v>
      </c>
      <c r="G56" s="14">
        <v>82.423360079999995</v>
      </c>
      <c r="H56" s="16">
        <v>2.4909087699999999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32.554428289999997</v>
      </c>
      <c r="F61" s="16">
        <v>2.4958750200000002</v>
      </c>
      <c r="G61" s="14">
        <v>67.445571709999996</v>
      </c>
      <c r="H61" s="16">
        <v>2.4958750200000002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(1869/B62*100)</f>
        <v>83.811659192825118</v>
      </c>
      <c r="D62" s="15">
        <v>361</v>
      </c>
      <c r="E62" s="14">
        <v>15.026348540000001</v>
      </c>
      <c r="F62" s="16">
        <v>1.9995778200000001</v>
      </c>
      <c r="G62" s="14">
        <v>84.973651459999999</v>
      </c>
      <c r="H62" s="16">
        <v>1.9995778200000001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51.189241090000003</v>
      </c>
      <c r="F66" s="16">
        <v>2.06745161</v>
      </c>
      <c r="G66" s="14">
        <v>48.810758909999997</v>
      </c>
      <c r="H66" s="16">
        <v>2.06745161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(3082/B67*100)</f>
        <v>89.075144508670519</v>
      </c>
      <c r="D67" s="15">
        <v>378</v>
      </c>
      <c r="E67" s="14">
        <v>44.544123370000001</v>
      </c>
      <c r="F67" s="16">
        <v>2.6079855699999999</v>
      </c>
      <c r="G67" s="14">
        <v>55.455876629999999</v>
      </c>
      <c r="H67" s="16">
        <v>2.6079855699999999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(2612/B70*100)</f>
        <v>84.06823302220792</v>
      </c>
      <c r="D70" s="15">
        <v>495</v>
      </c>
      <c r="E70" s="14">
        <v>23.157192930000001</v>
      </c>
      <c r="F70" s="16">
        <v>2.3761373400000001</v>
      </c>
      <c r="G70" s="14">
        <v>76.842807070000006</v>
      </c>
      <c r="H70" s="16">
        <v>2.3761373400000001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(3171/B72*100)</f>
        <v>83.032207384131979</v>
      </c>
      <c r="D72" s="15">
        <v>648</v>
      </c>
      <c r="E72" s="14">
        <v>15.45306869</v>
      </c>
      <c r="F72" s="16">
        <v>1.5520353099999999</v>
      </c>
      <c r="G72" s="14">
        <v>84.546931310000005</v>
      </c>
      <c r="H72" s="16">
        <v>1.5520353099999999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(3957/B73*100)</f>
        <v>85.060189165950135</v>
      </c>
      <c r="D73" s="15">
        <v>695</v>
      </c>
      <c r="E73" s="14">
        <v>50.709518979999999</v>
      </c>
      <c r="F73" s="16">
        <v>2.3474647100000001</v>
      </c>
      <c r="G73" s="14">
        <v>49.290481020000001</v>
      </c>
      <c r="H73" s="16">
        <v>2.3474647100000001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(2555/B75*100)</f>
        <v>86.055911081172113</v>
      </c>
      <c r="D75" s="15">
        <v>414</v>
      </c>
      <c r="E75" s="14">
        <v>77.498576650000004</v>
      </c>
      <c r="F75" s="16">
        <v>2.03061998</v>
      </c>
      <c r="G75" s="14">
        <v>22.50142335</v>
      </c>
      <c r="H75" s="16">
        <v>2.03061998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(5918/B76*100)</f>
        <v>83.17638791286015</v>
      </c>
      <c r="D76" s="15">
        <v>1197</v>
      </c>
      <c r="E76" s="14">
        <v>42.536533720000001</v>
      </c>
      <c r="F76" s="16">
        <v>1.75511343</v>
      </c>
      <c r="G76" s="14">
        <v>57.463466279999999</v>
      </c>
      <c r="H76" s="16">
        <v>1.75511343</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(2677/B77*100)</f>
        <v>84.876347495244133</v>
      </c>
      <c r="D77" s="15">
        <v>477</v>
      </c>
      <c r="E77" s="14">
        <v>34.7095196</v>
      </c>
      <c r="F77" s="16">
        <v>2.4551132600000001</v>
      </c>
      <c r="G77" s="14">
        <v>65.290480400000007</v>
      </c>
      <c r="H77" s="16">
        <v>2.4551132600000001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36.464689149999998</v>
      </c>
      <c r="F81" s="16">
        <v>2.3871709299999999</v>
      </c>
      <c r="G81" s="14">
        <v>63.535310850000002</v>
      </c>
      <c r="H81" s="16">
        <v>2.3871709299999999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(5919/B7*100)</f>
        <v>82.632975010470474</v>
      </c>
      <c r="D7" s="15">
        <v>1244</v>
      </c>
      <c r="E7" s="14">
        <v>11.320687080000001</v>
      </c>
      <c r="F7" s="16">
        <v>1.1311804999999999</v>
      </c>
      <c r="G7" s="14">
        <v>88.679312920000001</v>
      </c>
      <c r="H7" s="16">
        <v>1.1311804999999999</v>
      </c>
      <c r="I7" s="14" t="s">
        <v>139</v>
      </c>
      <c r="J7" s="16" t="s">
        <v>139</v>
      </c>
      <c r="K7" s="14">
        <v>0</v>
      </c>
      <c r="L7" s="16">
        <v>0</v>
      </c>
      <c r="M7" s="14">
        <v>0</v>
      </c>
      <c r="N7" s="16">
        <v>0</v>
      </c>
      <c r="O7" s="14">
        <v>0</v>
      </c>
      <c r="P7" s="16">
        <v>0</v>
      </c>
      <c r="Q7" s="14">
        <v>0</v>
      </c>
      <c r="R7" s="16">
        <v>0</v>
      </c>
    </row>
    <row r="8" spans="1:18" x14ac:dyDescent="0.25">
      <c r="A8" s="11" t="s">
        <v>140</v>
      </c>
      <c r="B8" s="13">
        <v>3443</v>
      </c>
      <c r="C8" s="14">
        <f>(2824/B8*100)</f>
        <v>82.021492884112689</v>
      </c>
      <c r="D8" s="15">
        <v>619</v>
      </c>
      <c r="E8" s="14">
        <v>19.684471080000002</v>
      </c>
      <c r="F8" s="16">
        <v>2.0070990900000001</v>
      </c>
      <c r="G8" s="14">
        <v>80.315528920000006</v>
      </c>
      <c r="H8" s="16">
        <v>2.0070990900000001</v>
      </c>
      <c r="I8" s="14" t="s">
        <v>139</v>
      </c>
      <c r="J8" s="16" t="s">
        <v>139</v>
      </c>
      <c r="K8" s="14">
        <v>0</v>
      </c>
      <c r="L8" s="16">
        <v>0</v>
      </c>
      <c r="M8" s="14">
        <v>0</v>
      </c>
      <c r="N8" s="16">
        <v>0</v>
      </c>
      <c r="O8" s="14">
        <v>0</v>
      </c>
      <c r="P8" s="16">
        <v>0</v>
      </c>
      <c r="Q8" s="14">
        <v>0</v>
      </c>
      <c r="R8" s="16">
        <v>0</v>
      </c>
    </row>
    <row r="9" spans="1:18" x14ac:dyDescent="0.25">
      <c r="A9" s="11" t="s">
        <v>141</v>
      </c>
      <c r="B9" s="13">
        <v>4752</v>
      </c>
      <c r="C9" s="14">
        <f>(3959/B9*100)</f>
        <v>83.312289562289564</v>
      </c>
      <c r="D9" s="15">
        <v>793</v>
      </c>
      <c r="E9" s="14">
        <v>13.62860839</v>
      </c>
      <c r="F9" s="16">
        <v>1.33643869</v>
      </c>
      <c r="G9" s="14">
        <v>86.371391610000003</v>
      </c>
      <c r="H9" s="16">
        <v>1.33643869</v>
      </c>
      <c r="I9" s="14" t="s">
        <v>139</v>
      </c>
      <c r="J9" s="16" t="s">
        <v>139</v>
      </c>
      <c r="K9" s="14">
        <v>0</v>
      </c>
      <c r="L9" s="16">
        <v>0</v>
      </c>
      <c r="M9" s="14">
        <v>0</v>
      </c>
      <c r="N9" s="16">
        <v>0</v>
      </c>
      <c r="O9" s="14">
        <v>0</v>
      </c>
      <c r="P9" s="16">
        <v>0</v>
      </c>
      <c r="Q9" s="14">
        <v>0</v>
      </c>
      <c r="R9" s="16">
        <v>0</v>
      </c>
    </row>
    <row r="10" spans="1:18" x14ac:dyDescent="0.25">
      <c r="A10" s="11" t="s">
        <v>142</v>
      </c>
      <c r="B10" s="13">
        <v>10022</v>
      </c>
      <c r="C10" s="14">
        <f>(8295/B10*100)</f>
        <v>82.767910596687287</v>
      </c>
      <c r="D10" s="15">
        <v>1727</v>
      </c>
      <c r="E10" s="14">
        <v>11.46297738</v>
      </c>
      <c r="F10" s="16">
        <v>1.12174427</v>
      </c>
      <c r="G10" s="14">
        <v>88.537022620000002</v>
      </c>
      <c r="H10" s="16">
        <v>1.12174427</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(2881/B11*100)</f>
        <v>82.314285714285717</v>
      </c>
      <c r="D11" s="15">
        <v>619</v>
      </c>
      <c r="E11" s="14">
        <v>19.766246339999999</v>
      </c>
      <c r="F11" s="16">
        <v>1.6276055700000001</v>
      </c>
      <c r="G11" s="14">
        <v>80.233753660000005</v>
      </c>
      <c r="H11" s="16">
        <v>1.6276055700000001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(2861/B12*100)</f>
        <v>83.606078316773818</v>
      </c>
      <c r="D12" s="15">
        <v>561</v>
      </c>
      <c r="E12" s="14">
        <v>14.494194589999999</v>
      </c>
      <c r="F12" s="16">
        <v>1.36854163</v>
      </c>
      <c r="G12" s="14">
        <v>85.505805409999994</v>
      </c>
      <c r="H12" s="16">
        <v>1.36854163</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11.48632752</v>
      </c>
      <c r="F13" s="16">
        <v>1.4302615999999999</v>
      </c>
      <c r="G13" s="14">
        <v>88.513672479999997</v>
      </c>
      <c r="H13" s="16">
        <v>1.4302615999999999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8.5243232199999994</v>
      </c>
      <c r="F14" s="16">
        <v>1.2711098300000001</v>
      </c>
      <c r="G14" s="14">
        <v>91.475676780000001</v>
      </c>
      <c r="H14" s="16">
        <v>1.2711098300000001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7.1629586099999996</v>
      </c>
      <c r="F15" s="16">
        <v>1.0188286900000001</v>
      </c>
      <c r="G15" s="14">
        <v>92.837041389999996</v>
      </c>
      <c r="H15" s="16">
        <v>1.0188286900000001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(2566/B16*100)</f>
        <v>82.481517197042749</v>
      </c>
      <c r="D16" s="15">
        <v>545</v>
      </c>
      <c r="E16" s="14">
        <v>15.948781220000001</v>
      </c>
      <c r="F16" s="16">
        <v>1.4709037300000001</v>
      </c>
      <c r="G16" s="14">
        <v>84.051218779999999</v>
      </c>
      <c r="H16" s="16">
        <v>1.4709037300000001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16.486408090000001</v>
      </c>
      <c r="F17" s="16">
        <v>1.482459</v>
      </c>
      <c r="G17" s="14">
        <v>83.513591910000002</v>
      </c>
      <c r="H17" s="16">
        <v>1.482459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(2232/B18*100)</f>
        <v>82.483370288248338</v>
      </c>
      <c r="D18" s="15">
        <v>474</v>
      </c>
      <c r="E18" s="14">
        <v>23.3618983</v>
      </c>
      <c r="F18" s="16">
        <v>2.08845356</v>
      </c>
      <c r="G18" s="14">
        <v>76.638101700000007</v>
      </c>
      <c r="H18" s="16">
        <v>2.08845356</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12.355681049999999</v>
      </c>
      <c r="F19" s="16">
        <v>1.6778978499999999</v>
      </c>
      <c r="G19" s="14">
        <v>87.644318949999999</v>
      </c>
      <c r="H19" s="16">
        <v>1.6778978499999999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12.75856312</v>
      </c>
      <c r="F20" s="16">
        <v>2.0461699499999999</v>
      </c>
      <c r="G20" s="14">
        <v>87.241436879999995</v>
      </c>
      <c r="H20" s="16">
        <v>2.0461699499999999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21.95753908</v>
      </c>
      <c r="F22" s="16">
        <v>1.6928450799999999</v>
      </c>
      <c r="G22" s="14">
        <v>78.042460919999996</v>
      </c>
      <c r="H22" s="16">
        <v>1.6928450799999999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(4793/B23*100)</f>
        <v>82.752071823204417</v>
      </c>
      <c r="D23" s="15">
        <v>999</v>
      </c>
      <c r="E23" s="14">
        <v>11.99134078</v>
      </c>
      <c r="F23" s="16">
        <v>1.2161399500000001</v>
      </c>
      <c r="G23" s="14">
        <v>88.008659219999998</v>
      </c>
      <c r="H23" s="16">
        <v>1.2161399500000001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13.085386359999999</v>
      </c>
      <c r="F24" s="16">
        <v>1.23722344</v>
      </c>
      <c r="G24" s="14">
        <v>86.914613639999999</v>
      </c>
      <c r="H24" s="16">
        <v>1.23722344</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23.559641620000001</v>
      </c>
      <c r="F25" s="16">
        <v>2.0603235299999998</v>
      </c>
      <c r="G25" s="14">
        <v>76.440358380000006</v>
      </c>
      <c r="H25" s="16">
        <v>2.0603235299999998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16.18770005</v>
      </c>
      <c r="F26" s="16">
        <v>1.7632684300000001</v>
      </c>
      <c r="G26" s="14">
        <v>83.812299949999996</v>
      </c>
      <c r="H26" s="16">
        <v>1.7632684300000001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12.640663139999999</v>
      </c>
      <c r="F27" s="16">
        <v>1.6344217400000001</v>
      </c>
      <c r="G27" s="14">
        <v>87.359336859999999</v>
      </c>
      <c r="H27" s="16">
        <v>1.6344217400000001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(3154/B28*100)</f>
        <v>82.93452537470418</v>
      </c>
      <c r="D28" s="15">
        <v>649</v>
      </c>
      <c r="E28" s="14">
        <v>22.60955087</v>
      </c>
      <c r="F28" s="16">
        <v>1.64716642</v>
      </c>
      <c r="G28" s="14">
        <v>77.390449129999993</v>
      </c>
      <c r="H28" s="16">
        <v>1.64716642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14.78936208</v>
      </c>
      <c r="F29" s="16">
        <v>1.6561458499999999</v>
      </c>
      <c r="G29" s="14">
        <v>85.210637919999996</v>
      </c>
      <c r="H29" s="16">
        <v>1.6561458499999999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9.0266494399999999</v>
      </c>
      <c r="F30" s="16">
        <v>1.4458452900000001</v>
      </c>
      <c r="G30" s="14">
        <v>90.97335056</v>
      </c>
      <c r="H30" s="16">
        <v>1.4458452900000001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11.53004301</v>
      </c>
      <c r="F31" s="16">
        <v>1.6297447300000001</v>
      </c>
      <c r="G31" s="14">
        <v>88.46995699</v>
      </c>
      <c r="H31" s="16">
        <v>1.6297447300000001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(3028/B33*100)</f>
        <v>82.936181867981375</v>
      </c>
      <c r="D33" s="15">
        <v>623</v>
      </c>
      <c r="E33" s="14">
        <v>13.45260833</v>
      </c>
      <c r="F33" s="16">
        <v>1.67240655</v>
      </c>
      <c r="G33" s="14">
        <v>86.547391669999996</v>
      </c>
      <c r="H33" s="16">
        <v>1.67240655</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20.897655709999999</v>
      </c>
      <c r="F34" s="16">
        <v>2.2758227899999999</v>
      </c>
      <c r="G34" s="14">
        <v>79.102344290000005</v>
      </c>
      <c r="H34" s="16">
        <v>2.2758227899999999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14.34113647</v>
      </c>
      <c r="F35" s="16">
        <v>1.95676293</v>
      </c>
      <c r="G35" s="14">
        <v>85.658863530000005</v>
      </c>
      <c r="H35" s="16">
        <v>1.95676293</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13.41547858</v>
      </c>
      <c r="F36" s="16">
        <v>1.31725278</v>
      </c>
      <c r="G36" s="14">
        <v>86.584521420000002</v>
      </c>
      <c r="H36" s="16">
        <v>1.31725278</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7.7473952400000003</v>
      </c>
      <c r="F37" s="16">
        <v>1.1300369100000001</v>
      </c>
      <c r="G37" s="14">
        <v>92.252604759999997</v>
      </c>
      <c r="H37" s="16">
        <v>1.1300369100000001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24.607627359999999</v>
      </c>
      <c r="F39" s="16">
        <v>2.2966932400000002</v>
      </c>
      <c r="G39" s="14">
        <v>75.392372640000005</v>
      </c>
      <c r="H39" s="16">
        <v>2.2966932400000002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(5727/B40*100)</f>
        <v>82.736203409419247</v>
      </c>
      <c r="D40" s="15">
        <v>1195</v>
      </c>
      <c r="E40" s="14">
        <v>13.857337169999999</v>
      </c>
      <c r="F40" s="16">
        <v>1.5415913400000001</v>
      </c>
      <c r="G40" s="14">
        <v>86.142662830000006</v>
      </c>
      <c r="H40" s="16">
        <v>1.5415913400000001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13.522657629999999</v>
      </c>
      <c r="F41" s="16">
        <v>1.6110057600000001</v>
      </c>
      <c r="G41" s="14">
        <v>86.477342370000002</v>
      </c>
      <c r="H41" s="16">
        <v>1.6110057600000001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82.859732466278501</v>
      </c>
      <c r="D42" s="15">
        <f>IF(COUNT(D7:D41) &gt; 0, AVERAGE(D7:D41), "—")</f>
        <v>619.28125</v>
      </c>
      <c r="E42" s="14">
        <f>IF(COUNT(E7:E41) &gt; 0, AVERAGE(E7:E41), "—")</f>
        <v>14.9269343409375</v>
      </c>
      <c r="F42" s="16">
        <f>IF(COUNT(F7:F41) &gt; 0, SQRT(SUMSQ(F7:F41)/(COUNT(F7:F41)*COUNT(F7:F41)) ), "—")</f>
        <v>0.28720461855017071</v>
      </c>
      <c r="G42" s="14">
        <f>IF(COUNT(G7:G41) &gt; 0, AVERAGE(G7:G41), "—")</f>
        <v>85.073065659062479</v>
      </c>
      <c r="H42" s="16">
        <f>IF(COUNT(H7:H41) &gt; 0, SQRT(SUMSQ(H7:H41)/(COUNT(H7:H41)*COUNT(H7:H41)) ), "—")</f>
        <v>0.28720461855017071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(10177/B46*100)</f>
        <v>84.295535492421109</v>
      </c>
      <c r="D46" s="15">
        <v>1896</v>
      </c>
      <c r="E46" s="14">
        <v>20.72252924</v>
      </c>
      <c r="F46" s="16">
        <v>1.33619803</v>
      </c>
      <c r="G46" s="14">
        <v>79.27747076</v>
      </c>
      <c r="H46" s="16">
        <v>1.33619803</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(2326/B47*100)</f>
        <v>82.394615657102378</v>
      </c>
      <c r="D47" s="15">
        <v>497</v>
      </c>
      <c r="E47" s="14">
        <v>18.55387331</v>
      </c>
      <c r="F47" s="16">
        <v>1.8042743999999999</v>
      </c>
      <c r="G47" s="14">
        <v>81.44612669</v>
      </c>
      <c r="H47" s="16">
        <v>1.8042743999999999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17.96074943</v>
      </c>
      <c r="F48" s="16">
        <v>1.89860838</v>
      </c>
      <c r="G48" s="14">
        <v>82.039250569999993</v>
      </c>
      <c r="H48" s="16">
        <v>1.89860838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(5105/B50*100)</f>
        <v>82.900292302695675</v>
      </c>
      <c r="D50" s="15">
        <v>1053</v>
      </c>
      <c r="E50" s="14">
        <v>23.237221909999999</v>
      </c>
      <c r="F50" s="16">
        <v>1.9445740899999999</v>
      </c>
      <c r="G50" s="14">
        <v>76.762778089999998</v>
      </c>
      <c r="H50" s="16">
        <v>1.9445740899999999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(2967/B51*100)</f>
        <v>84.917000572409847</v>
      </c>
      <c r="D51" s="15">
        <v>527</v>
      </c>
      <c r="E51" s="14">
        <v>18.15008448</v>
      </c>
      <c r="F51" s="16">
        <v>1.90497607</v>
      </c>
      <c r="G51" s="14">
        <v>81.849915519999996</v>
      </c>
      <c r="H51" s="16">
        <v>1.90497607</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10.734346690000001</v>
      </c>
      <c r="F52" s="16">
        <v>1.3708933400000001</v>
      </c>
      <c r="G52" s="14">
        <v>89.265653310000005</v>
      </c>
      <c r="H52" s="16">
        <v>1.3708933400000001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21.632458740000001</v>
      </c>
      <c r="F53" s="16">
        <v>2.0064646800000001</v>
      </c>
      <c r="G53" s="14">
        <v>78.367541259999996</v>
      </c>
      <c r="H53" s="16">
        <v>2.0064646800000001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(2203/B56*100)</f>
        <v>82.355140186915889</v>
      </c>
      <c r="D56" s="15">
        <v>472</v>
      </c>
      <c r="E56" s="14">
        <v>20.54847904</v>
      </c>
      <c r="F56" s="16">
        <v>1.8370729699999999</v>
      </c>
      <c r="G56" s="14">
        <v>79.451520959999996</v>
      </c>
      <c r="H56" s="16">
        <v>1.8370729699999999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24.103215349999999</v>
      </c>
      <c r="F61" s="16">
        <v>1.8288911299999999</v>
      </c>
      <c r="G61" s="14">
        <v>75.896784650000001</v>
      </c>
      <c r="H61" s="16">
        <v>1.8288911299999999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18.461096340000001</v>
      </c>
      <c r="F62" s="16">
        <v>1.73126954</v>
      </c>
      <c r="G62" s="14">
        <v>81.538903660000003</v>
      </c>
      <c r="H62" s="16">
        <v>1.73126954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(2281/B66*100)</f>
        <v>82.316853121616745</v>
      </c>
      <c r="D66" s="15">
        <v>490</v>
      </c>
      <c r="E66" s="14">
        <v>15.543835939999999</v>
      </c>
      <c r="F66" s="16">
        <v>1.79997487</v>
      </c>
      <c r="G66" s="14">
        <v>84.456164060000006</v>
      </c>
      <c r="H66" s="16">
        <v>1.79997487</v>
      </c>
      <c r="I66" s="14" t="s">
        <v>139</v>
      </c>
      <c r="J66" s="16" t="s">
        <v>139</v>
      </c>
      <c r="K66" s="14">
        <v>0</v>
      </c>
      <c r="L66" s="16">
        <v>0</v>
      </c>
      <c r="M66" s="14">
        <v>0</v>
      </c>
      <c r="N66" s="16">
        <v>0</v>
      </c>
      <c r="O66" s="14">
        <v>0</v>
      </c>
      <c r="P66" s="16">
        <v>0</v>
      </c>
      <c r="Q66" s="14">
        <v>0</v>
      </c>
      <c r="R66" s="16">
        <v>0</v>
      </c>
    </row>
    <row r="67" spans="1:18" x14ac:dyDescent="0.25">
      <c r="A67" s="11" t="s">
        <v>200</v>
      </c>
      <c r="B67" s="13">
        <v>3460</v>
      </c>
      <c r="C67" s="14">
        <f>(2901/B67*100)</f>
        <v>83.843930635838149</v>
      </c>
      <c r="D67" s="15">
        <v>559</v>
      </c>
      <c r="E67" s="14">
        <v>24.99769044</v>
      </c>
      <c r="F67" s="16">
        <v>1.8064296799999999</v>
      </c>
      <c r="G67" s="14">
        <v>75.00230956</v>
      </c>
      <c r="H67" s="16">
        <v>1.8064296799999999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18.69998592</v>
      </c>
      <c r="F70" s="16">
        <v>2.02817604</v>
      </c>
      <c r="G70" s="14">
        <v>81.300014079999997</v>
      </c>
      <c r="H70" s="16">
        <v>2.02817604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(3155/B72*100)</f>
        <v>82.613249541764858</v>
      </c>
      <c r="D72" s="15">
        <v>664</v>
      </c>
      <c r="E72" s="14">
        <v>23.989062010000001</v>
      </c>
      <c r="F72" s="16">
        <v>1.86626242</v>
      </c>
      <c r="G72" s="14">
        <v>76.010937990000002</v>
      </c>
      <c r="H72" s="16">
        <v>1.86626242</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(3871/B73*100)</f>
        <v>83.211521926053308</v>
      </c>
      <c r="D73" s="15">
        <v>781</v>
      </c>
      <c r="E73" s="14">
        <v>10.92874561</v>
      </c>
      <c r="F73" s="16">
        <v>1.3788255</v>
      </c>
      <c r="G73" s="14">
        <v>89.071254389999993</v>
      </c>
      <c r="H73" s="16">
        <v>1.3788255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(2493/B75*100)</f>
        <v>83.967665880767939</v>
      </c>
      <c r="D75" s="15">
        <v>476</v>
      </c>
      <c r="E75" s="14">
        <v>32.197858840000002</v>
      </c>
      <c r="F75" s="16">
        <v>2.2071146800000001</v>
      </c>
      <c r="G75" s="14">
        <v>67.802141160000005</v>
      </c>
      <c r="H75" s="16">
        <v>2.2071146800000001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21.309737309999999</v>
      </c>
      <c r="F76" s="16">
        <v>1.47750369</v>
      </c>
      <c r="G76" s="14">
        <v>78.690262689999997</v>
      </c>
      <c r="H76" s="16">
        <v>1.47750369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(2604/B77*100)</f>
        <v>82.561826252377941</v>
      </c>
      <c r="D77" s="15">
        <v>550</v>
      </c>
      <c r="E77" s="14">
        <v>18.02916617</v>
      </c>
      <c r="F77" s="16">
        <v>1.6537407900000001</v>
      </c>
      <c r="G77" s="14">
        <v>81.970833830000004</v>
      </c>
      <c r="H77" s="16">
        <v>1.6537407900000001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(3893/B81*100)</f>
        <v>82.865048957002983</v>
      </c>
      <c r="D81" s="15">
        <v>805</v>
      </c>
      <c r="E81" s="14">
        <v>21.843165129999999</v>
      </c>
      <c r="F81" s="16">
        <v>1.69012305</v>
      </c>
      <c r="G81" s="14">
        <v>78.156834869999997</v>
      </c>
      <c r="H81" s="16">
        <v>1.69012305</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(5919/B7*100)</f>
        <v>82.632975010470474</v>
      </c>
      <c r="D7" s="15">
        <v>1244</v>
      </c>
      <c r="E7" s="14">
        <v>23.585878409999999</v>
      </c>
      <c r="F7" s="16">
        <v>1.4790336500000001</v>
      </c>
      <c r="G7" s="14">
        <v>76.414121589999993</v>
      </c>
      <c r="H7" s="16">
        <v>1.4790336500000001</v>
      </c>
      <c r="I7" s="14" t="s">
        <v>139</v>
      </c>
      <c r="J7" s="16" t="s">
        <v>139</v>
      </c>
      <c r="K7" s="14">
        <v>0</v>
      </c>
      <c r="L7" s="16">
        <v>0</v>
      </c>
      <c r="M7" s="14">
        <v>0</v>
      </c>
      <c r="N7" s="16">
        <v>0</v>
      </c>
      <c r="O7" s="14">
        <v>0</v>
      </c>
      <c r="P7" s="16">
        <v>0</v>
      </c>
      <c r="Q7" s="14">
        <v>0</v>
      </c>
      <c r="R7" s="16">
        <v>0</v>
      </c>
    </row>
    <row r="8" spans="1:18" x14ac:dyDescent="0.25">
      <c r="A8" s="11" t="s">
        <v>140</v>
      </c>
      <c r="B8" s="13">
        <v>3443</v>
      </c>
      <c r="C8" s="14">
        <f>(2824/B8*100)</f>
        <v>82.021492884112689</v>
      </c>
      <c r="D8" s="15">
        <v>619</v>
      </c>
      <c r="E8" s="14">
        <v>28.767833979999999</v>
      </c>
      <c r="F8" s="16">
        <v>1.9791967699999999</v>
      </c>
      <c r="G8" s="14">
        <v>71.232166019999994</v>
      </c>
      <c r="H8" s="16">
        <v>1.9791967699999999</v>
      </c>
      <c r="I8" s="14" t="s">
        <v>139</v>
      </c>
      <c r="J8" s="16" t="s">
        <v>139</v>
      </c>
      <c r="K8" s="14">
        <v>0</v>
      </c>
      <c r="L8" s="16">
        <v>0</v>
      </c>
      <c r="M8" s="14">
        <v>0</v>
      </c>
      <c r="N8" s="16">
        <v>0</v>
      </c>
      <c r="O8" s="14">
        <v>0</v>
      </c>
      <c r="P8" s="16">
        <v>0</v>
      </c>
      <c r="Q8" s="14">
        <v>0</v>
      </c>
      <c r="R8" s="16">
        <v>0</v>
      </c>
    </row>
    <row r="9" spans="1:18" x14ac:dyDescent="0.25">
      <c r="A9" s="11" t="s">
        <v>141</v>
      </c>
      <c r="B9" s="13">
        <v>4752</v>
      </c>
      <c r="C9" s="14">
        <f>(3959/B9*100)</f>
        <v>83.312289562289564</v>
      </c>
      <c r="D9" s="15">
        <v>793</v>
      </c>
      <c r="E9" s="14">
        <v>47.438482739999998</v>
      </c>
      <c r="F9" s="16">
        <v>1.8173168900000001</v>
      </c>
      <c r="G9" s="14">
        <v>52.561517260000002</v>
      </c>
      <c r="H9" s="16">
        <v>1.8173168900000001</v>
      </c>
      <c r="I9" s="14" t="s">
        <v>139</v>
      </c>
      <c r="J9" s="16" t="s">
        <v>139</v>
      </c>
      <c r="K9" s="14">
        <v>0</v>
      </c>
      <c r="L9" s="16">
        <v>0</v>
      </c>
      <c r="M9" s="14">
        <v>0</v>
      </c>
      <c r="N9" s="16">
        <v>0</v>
      </c>
      <c r="O9" s="14">
        <v>0</v>
      </c>
      <c r="P9" s="16">
        <v>0</v>
      </c>
      <c r="Q9" s="14">
        <v>0</v>
      </c>
      <c r="R9" s="16">
        <v>0</v>
      </c>
    </row>
    <row r="10" spans="1:18" x14ac:dyDescent="0.25">
      <c r="A10" s="11" t="s">
        <v>142</v>
      </c>
      <c r="B10" s="13">
        <v>10022</v>
      </c>
      <c r="C10" s="14">
        <f>(8295/B10*100)</f>
        <v>82.767910596687287</v>
      </c>
      <c r="D10" s="15">
        <v>1727</v>
      </c>
      <c r="E10" s="14">
        <v>23.44927933</v>
      </c>
      <c r="F10" s="16">
        <v>1.4270566200000001</v>
      </c>
      <c r="G10" s="14">
        <v>76.550720670000004</v>
      </c>
      <c r="H10" s="16">
        <v>1.4270566200000001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(2881/B11*100)</f>
        <v>82.314285714285717</v>
      </c>
      <c r="D11" s="15">
        <v>619</v>
      </c>
      <c r="E11" s="14">
        <v>43.262198249999997</v>
      </c>
      <c r="F11" s="16">
        <v>2.32592007</v>
      </c>
      <c r="G11" s="14">
        <v>56.737801750000003</v>
      </c>
      <c r="H11" s="16">
        <v>2.32592007</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(2861/B12*100)</f>
        <v>83.606078316773818</v>
      </c>
      <c r="D12" s="15">
        <v>561</v>
      </c>
      <c r="E12" s="14">
        <v>43.598713549999999</v>
      </c>
      <c r="F12" s="16">
        <v>2.6473940300000001</v>
      </c>
      <c r="G12" s="14">
        <v>56.401286450000001</v>
      </c>
      <c r="H12" s="16">
        <v>2.6473940300000001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39.686137330000001</v>
      </c>
      <c r="F13" s="16">
        <v>2.5098914799999998</v>
      </c>
      <c r="G13" s="14">
        <v>60.313862669999999</v>
      </c>
      <c r="H13" s="16">
        <v>2.5098914799999998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35.579634810000002</v>
      </c>
      <c r="F14" s="16">
        <v>2.3522412699999999</v>
      </c>
      <c r="G14" s="14">
        <v>64.420365189999998</v>
      </c>
      <c r="H14" s="16">
        <v>2.3522412699999999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52.175505610000002</v>
      </c>
      <c r="F15" s="16">
        <v>2.3979928899999998</v>
      </c>
      <c r="G15" s="14">
        <v>47.824494389999998</v>
      </c>
      <c r="H15" s="16">
        <v>2.3979928899999998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(2566/B16*100)</f>
        <v>82.481517197042749</v>
      </c>
      <c r="D16" s="15">
        <v>545</v>
      </c>
      <c r="E16" s="14">
        <v>52.215195989999998</v>
      </c>
      <c r="F16" s="16">
        <v>2.0623677800000002</v>
      </c>
      <c r="G16" s="14">
        <v>47.784804010000002</v>
      </c>
      <c r="H16" s="16">
        <v>2.0623677800000002</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26.84630331</v>
      </c>
      <c r="F17" s="16">
        <v>1.85737862</v>
      </c>
      <c r="G17" s="14">
        <v>73.153696690000004</v>
      </c>
      <c r="H17" s="16">
        <v>1.85737862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(2232/B18*100)</f>
        <v>82.483370288248338</v>
      </c>
      <c r="D18" s="15">
        <v>474</v>
      </c>
      <c r="E18" s="14">
        <v>58.411070219999999</v>
      </c>
      <c r="F18" s="16">
        <v>2.82964613</v>
      </c>
      <c r="G18" s="14">
        <v>41.588929780000001</v>
      </c>
      <c r="H18" s="16">
        <v>2.82964613</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42.294628359999997</v>
      </c>
      <c r="F19" s="16">
        <v>2.4144231299999999</v>
      </c>
      <c r="G19" s="14">
        <v>57.705371640000003</v>
      </c>
      <c r="H19" s="16">
        <v>2.4144231299999999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39.694929500000001</v>
      </c>
      <c r="F20" s="16">
        <v>3.0869349000000001</v>
      </c>
      <c r="G20" s="14">
        <v>60.305070499999999</v>
      </c>
      <c r="H20" s="16">
        <v>3.0869349000000001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54.934950360000002</v>
      </c>
      <c r="F22" s="16">
        <v>2.32460764</v>
      </c>
      <c r="G22" s="14">
        <v>45.065049639999998</v>
      </c>
      <c r="H22" s="16">
        <v>2.32460764</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(4793/B23*100)</f>
        <v>82.752071823204417</v>
      </c>
      <c r="D23" s="15">
        <v>999</v>
      </c>
      <c r="E23" s="14">
        <v>53.446699729999999</v>
      </c>
      <c r="F23" s="16">
        <v>2.6749079099999999</v>
      </c>
      <c r="G23" s="14">
        <v>46.553300270000001</v>
      </c>
      <c r="H23" s="16">
        <v>2.6749079099999999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24.866044819999999</v>
      </c>
      <c r="F24" s="16">
        <v>1.54768551</v>
      </c>
      <c r="G24" s="14">
        <v>75.133955180000001</v>
      </c>
      <c r="H24" s="16">
        <v>1.54768551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19.94038153</v>
      </c>
      <c r="F25" s="16">
        <v>2.1294159100000001</v>
      </c>
      <c r="G25" s="14">
        <v>80.059618470000004</v>
      </c>
      <c r="H25" s="16">
        <v>2.1294159100000001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56.426822870000002</v>
      </c>
      <c r="F26" s="16">
        <v>2.5014872600000002</v>
      </c>
      <c r="G26" s="14">
        <v>43.573177129999998</v>
      </c>
      <c r="H26" s="16">
        <v>2.5014872600000002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35.121676569999998</v>
      </c>
      <c r="F27" s="16">
        <v>2.0363465000000001</v>
      </c>
      <c r="G27" s="14">
        <v>64.878323429999995</v>
      </c>
      <c r="H27" s="16">
        <v>2.0363465000000001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(3154/B28*100)</f>
        <v>82.93452537470418</v>
      </c>
      <c r="D28" s="15">
        <v>649</v>
      </c>
      <c r="E28" s="14">
        <v>60.608164180000003</v>
      </c>
      <c r="F28" s="16">
        <v>1.8979685500000001</v>
      </c>
      <c r="G28" s="14">
        <v>39.391835819999997</v>
      </c>
      <c r="H28" s="16">
        <v>1.8979685500000001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40.994605210000003</v>
      </c>
      <c r="F29" s="16">
        <v>2.60426117</v>
      </c>
      <c r="G29" s="14">
        <v>59.005394789999997</v>
      </c>
      <c r="H29" s="16">
        <v>2.60426117</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23.598156320000001</v>
      </c>
      <c r="F30" s="16">
        <v>2.4528532799999998</v>
      </c>
      <c r="G30" s="14">
        <v>76.401843679999999</v>
      </c>
      <c r="H30" s="16">
        <v>2.4528532799999998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37.06433526</v>
      </c>
      <c r="F31" s="16">
        <v>2.58394922</v>
      </c>
      <c r="G31" s="14">
        <v>62.93566474</v>
      </c>
      <c r="H31" s="16">
        <v>2.58394922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(3028/B33*100)</f>
        <v>82.936181867981375</v>
      </c>
      <c r="D33" s="15">
        <v>623</v>
      </c>
      <c r="E33" s="14">
        <v>43.737135080000002</v>
      </c>
      <c r="F33" s="16">
        <v>2.4476473200000002</v>
      </c>
      <c r="G33" s="14">
        <v>56.262864919999998</v>
      </c>
      <c r="H33" s="16">
        <v>2.4476473200000002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55.634989519999998</v>
      </c>
      <c r="F34" s="16">
        <v>2.1769691999999998</v>
      </c>
      <c r="G34" s="14">
        <v>44.365010480000002</v>
      </c>
      <c r="H34" s="16">
        <v>2.1769691999999998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45.047433429999998</v>
      </c>
      <c r="F35" s="16">
        <v>2.8871770799999998</v>
      </c>
      <c r="G35" s="14">
        <v>54.952566570000002</v>
      </c>
      <c r="H35" s="16">
        <v>2.8871770799999998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38.049759430000002</v>
      </c>
      <c r="F36" s="16">
        <v>2.0386243300000002</v>
      </c>
      <c r="G36" s="14">
        <v>61.950240569999998</v>
      </c>
      <c r="H36" s="16">
        <v>2.0386243300000002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49.848521220000002</v>
      </c>
      <c r="F37" s="16">
        <v>2.2956626500000001</v>
      </c>
      <c r="G37" s="14">
        <v>50.151478779999998</v>
      </c>
      <c r="H37" s="16">
        <v>2.2956626500000001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50.592888610000003</v>
      </c>
      <c r="F39" s="16">
        <v>2.71704298</v>
      </c>
      <c r="G39" s="14">
        <v>49.407111389999997</v>
      </c>
      <c r="H39" s="16">
        <v>2.71704298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(5727/B40*100)</f>
        <v>82.736203409419247</v>
      </c>
      <c r="D40" s="15">
        <v>1195</v>
      </c>
      <c r="E40" s="14">
        <v>26.956426960000002</v>
      </c>
      <c r="F40" s="16">
        <v>1.9603828400000001</v>
      </c>
      <c r="G40" s="14">
        <v>73.043573039999998</v>
      </c>
      <c r="H40" s="16">
        <v>1.9603828400000001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23.535320479999999</v>
      </c>
      <c r="F41" s="16">
        <v>1.7194768499999999</v>
      </c>
      <c r="G41" s="14">
        <v>76.464679520000004</v>
      </c>
      <c r="H41" s="16">
        <v>1.7194768499999999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82.859732466278501</v>
      </c>
      <c r="D42" s="15">
        <f>IF(COUNT(D7:D41) &gt; 0, AVERAGE(D7:D41), "—")</f>
        <v>619.28125</v>
      </c>
      <c r="E42" s="14">
        <f>IF(COUNT(E7:E41) &gt; 0, AVERAGE(E7:E41), "—")</f>
        <v>40.544065717812508</v>
      </c>
      <c r="F42" s="16">
        <f>IF(COUNT(F7:F41) &gt; 0, SQRT(SUMSQ(F7:F41)/(COUNT(F7:F41)*COUNT(F7:F41)) ), "—")</f>
        <v>0.40523766112495624</v>
      </c>
      <c r="G42" s="14">
        <f>IF(COUNT(G7:G41) &gt; 0, AVERAGE(G7:G41), "—")</f>
        <v>59.455934282187499</v>
      </c>
      <c r="H42" s="16">
        <f>IF(COUNT(H7:H41) &gt; 0, SQRT(SUMSQ(H7:H41)/(COUNT(H7:H41)*COUNT(H7:H41)) ), "—")</f>
        <v>0.40523766112495624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(10177/B46*100)</f>
        <v>84.295535492421109</v>
      </c>
      <c r="D46" s="15">
        <v>1896</v>
      </c>
      <c r="E46" s="14">
        <v>65.411662190000001</v>
      </c>
      <c r="F46" s="16">
        <v>1.4585585999999999</v>
      </c>
      <c r="G46" s="14">
        <v>34.588337809999999</v>
      </c>
      <c r="H46" s="16">
        <v>1.4585585999999999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(2326/B47*100)</f>
        <v>82.394615657102378</v>
      </c>
      <c r="D47" s="15">
        <v>497</v>
      </c>
      <c r="E47" s="14">
        <v>50.090460120000003</v>
      </c>
      <c r="F47" s="16">
        <v>2.3844427399999999</v>
      </c>
      <c r="G47" s="14">
        <v>49.909539879999997</v>
      </c>
      <c r="H47" s="16">
        <v>2.3844427399999999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23.328463989999999</v>
      </c>
      <c r="F48" s="16">
        <v>2.0626247499999999</v>
      </c>
      <c r="G48" s="14">
        <v>76.671536009999997</v>
      </c>
      <c r="H48" s="16">
        <v>2.0626247499999999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(5105/B50*100)</f>
        <v>82.900292302695675</v>
      </c>
      <c r="D50" s="15">
        <v>1053</v>
      </c>
      <c r="E50" s="14">
        <v>42.797258990000003</v>
      </c>
      <c r="F50" s="16">
        <v>1.9186726599999999</v>
      </c>
      <c r="G50" s="14">
        <v>57.202741009999997</v>
      </c>
      <c r="H50" s="16">
        <v>1.9186726599999999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(2967/B51*100)</f>
        <v>84.917000572409847</v>
      </c>
      <c r="D51" s="15">
        <v>527</v>
      </c>
      <c r="E51" s="14">
        <v>33.981073279999997</v>
      </c>
      <c r="F51" s="16">
        <v>2.05452295</v>
      </c>
      <c r="G51" s="14">
        <v>66.018926719999996</v>
      </c>
      <c r="H51" s="16">
        <v>2.05452295</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62.023831080000001</v>
      </c>
      <c r="F52" s="16">
        <v>2.0187435699999998</v>
      </c>
      <c r="G52" s="14">
        <v>37.976168919999999</v>
      </c>
      <c r="H52" s="16">
        <v>2.0187435699999998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51.2348985</v>
      </c>
      <c r="F53" s="16">
        <v>2.4724064299999999</v>
      </c>
      <c r="G53" s="14">
        <v>48.7651015</v>
      </c>
      <c r="H53" s="16">
        <v>2.4724064299999999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(2203/B56*100)</f>
        <v>82.355140186915889</v>
      </c>
      <c r="D56" s="15">
        <v>472</v>
      </c>
      <c r="E56" s="14">
        <v>21.741591809999999</v>
      </c>
      <c r="F56" s="16">
        <v>1.76340798</v>
      </c>
      <c r="G56" s="14">
        <v>78.258408189999997</v>
      </c>
      <c r="H56" s="16">
        <v>1.76340798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51.733858410000003</v>
      </c>
      <c r="F61" s="16">
        <v>2.1162559500000002</v>
      </c>
      <c r="G61" s="14">
        <v>48.266141589999997</v>
      </c>
      <c r="H61" s="16">
        <v>2.1162559500000002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22.25703893</v>
      </c>
      <c r="F62" s="16">
        <v>2.0783396500000002</v>
      </c>
      <c r="G62" s="14">
        <v>77.742961070000007</v>
      </c>
      <c r="H62" s="16">
        <v>2.0783396500000002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(2281/B66*100)</f>
        <v>82.316853121616745</v>
      </c>
      <c r="D66" s="15">
        <v>490</v>
      </c>
      <c r="E66" s="14">
        <v>69.736086830000005</v>
      </c>
      <c r="F66" s="16">
        <v>2.1026060800000002</v>
      </c>
      <c r="G66" s="14">
        <v>30.263913169999999</v>
      </c>
      <c r="H66" s="16">
        <v>2.1026060800000002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(2901/B67*100)</f>
        <v>83.843930635838149</v>
      </c>
      <c r="D67" s="15">
        <v>559</v>
      </c>
      <c r="E67" s="14">
        <v>53.361456310000001</v>
      </c>
      <c r="F67" s="16">
        <v>2.4697611500000001</v>
      </c>
      <c r="G67" s="14">
        <v>46.638543689999999</v>
      </c>
      <c r="H67" s="16">
        <v>2.4697611500000001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47.888874729999998</v>
      </c>
      <c r="F70" s="16">
        <v>2.4103978100000001</v>
      </c>
      <c r="G70" s="14">
        <v>52.111125270000002</v>
      </c>
      <c r="H70" s="16">
        <v>2.4103978100000001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(3155/B72*100)</f>
        <v>82.613249541764858</v>
      </c>
      <c r="D72" s="15">
        <v>664</v>
      </c>
      <c r="E72" s="14">
        <v>25.007261190000001</v>
      </c>
      <c r="F72" s="16">
        <v>1.5918089600000001</v>
      </c>
      <c r="G72" s="14">
        <v>74.992738810000006</v>
      </c>
      <c r="H72" s="16">
        <v>1.5918089600000001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(3871/B73*100)</f>
        <v>83.211521926053308</v>
      </c>
      <c r="D73" s="15">
        <v>781</v>
      </c>
      <c r="E73" s="14">
        <v>21.10111659</v>
      </c>
      <c r="F73" s="16">
        <v>1.8330422500000001</v>
      </c>
      <c r="G73" s="14">
        <v>78.898883409999996</v>
      </c>
      <c r="H73" s="16">
        <v>1.8330422500000001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(2493/B75*100)</f>
        <v>83.967665880767939</v>
      </c>
      <c r="D75" s="15">
        <v>476</v>
      </c>
      <c r="E75" s="14">
        <v>74.469085280000002</v>
      </c>
      <c r="F75" s="16">
        <v>1.90880246</v>
      </c>
      <c r="G75" s="14">
        <v>25.530914719999998</v>
      </c>
      <c r="H75" s="16">
        <v>1.90880246</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56.784590639999998</v>
      </c>
      <c r="F76" s="16">
        <v>1.51947392</v>
      </c>
      <c r="G76" s="14">
        <v>43.215409360000002</v>
      </c>
      <c r="H76" s="16">
        <v>1.51947392</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(2604/B77*100)</f>
        <v>82.561826252377941</v>
      </c>
      <c r="D77" s="15">
        <v>550</v>
      </c>
      <c r="E77" s="14">
        <v>52.506291640000001</v>
      </c>
      <c r="F77" s="16">
        <v>2.0340567799999998</v>
      </c>
      <c r="G77" s="14">
        <v>47.493708359999999</v>
      </c>
      <c r="H77" s="16">
        <v>2.0340567799999998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(3893/B81*100)</f>
        <v>82.865048957002983</v>
      </c>
      <c r="D81" s="15">
        <v>805</v>
      </c>
      <c r="E81" s="14">
        <v>31.806835110000002</v>
      </c>
      <c r="F81" s="16">
        <v>2.3522265899999999</v>
      </c>
      <c r="G81" s="14">
        <v>68.193164890000006</v>
      </c>
      <c r="H81" s="16">
        <v>2.3522265899999999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(5919/B7*100)</f>
        <v>82.632975010470474</v>
      </c>
      <c r="D7" s="15">
        <v>1244</v>
      </c>
      <c r="E7" s="14">
        <v>24.600196759999999</v>
      </c>
      <c r="F7" s="16">
        <v>1.3315137399999999</v>
      </c>
      <c r="G7" s="14">
        <v>75.399803239999997</v>
      </c>
      <c r="H7" s="16">
        <v>1.3315137399999999</v>
      </c>
      <c r="I7" s="14" t="s">
        <v>139</v>
      </c>
      <c r="J7" s="16" t="s">
        <v>139</v>
      </c>
      <c r="K7" s="14">
        <v>0</v>
      </c>
      <c r="L7" s="16">
        <v>0</v>
      </c>
      <c r="M7" s="14">
        <v>0</v>
      </c>
      <c r="N7" s="16">
        <v>0</v>
      </c>
      <c r="O7" s="14">
        <v>0</v>
      </c>
      <c r="P7" s="16">
        <v>0</v>
      </c>
      <c r="Q7" s="14">
        <v>0</v>
      </c>
      <c r="R7" s="16">
        <v>0</v>
      </c>
    </row>
    <row r="8" spans="1:18" x14ac:dyDescent="0.25">
      <c r="A8" s="11" t="s">
        <v>140</v>
      </c>
      <c r="B8" s="13">
        <v>3443</v>
      </c>
      <c r="C8" s="14">
        <f>(2824/B8*100)</f>
        <v>82.021492884112689</v>
      </c>
      <c r="D8" s="15">
        <v>619</v>
      </c>
      <c r="E8" s="14">
        <v>37.476787829999999</v>
      </c>
      <c r="F8" s="16">
        <v>2.1561217500000001</v>
      </c>
      <c r="G8" s="14">
        <v>62.523212170000001</v>
      </c>
      <c r="H8" s="16">
        <v>2.1561217500000001</v>
      </c>
      <c r="I8" s="14" t="s">
        <v>139</v>
      </c>
      <c r="J8" s="16" t="s">
        <v>139</v>
      </c>
      <c r="K8" s="14">
        <v>0</v>
      </c>
      <c r="L8" s="16">
        <v>0</v>
      </c>
      <c r="M8" s="14">
        <v>0</v>
      </c>
      <c r="N8" s="16">
        <v>0</v>
      </c>
      <c r="O8" s="14">
        <v>0</v>
      </c>
      <c r="P8" s="16">
        <v>0</v>
      </c>
      <c r="Q8" s="14">
        <v>0</v>
      </c>
      <c r="R8" s="16">
        <v>0</v>
      </c>
    </row>
    <row r="9" spans="1:18" x14ac:dyDescent="0.25">
      <c r="A9" s="11" t="s">
        <v>141</v>
      </c>
      <c r="B9" s="13">
        <v>4752</v>
      </c>
      <c r="C9" s="14">
        <f>(3959/B9*100)</f>
        <v>83.312289562289564</v>
      </c>
      <c r="D9" s="15">
        <v>793</v>
      </c>
      <c r="E9" s="14">
        <v>31.816603959999998</v>
      </c>
      <c r="F9" s="16">
        <v>1.52247668</v>
      </c>
      <c r="G9" s="14">
        <v>68.183396040000005</v>
      </c>
      <c r="H9" s="16">
        <v>1.52247668</v>
      </c>
      <c r="I9" s="14" t="s">
        <v>139</v>
      </c>
      <c r="J9" s="16" t="s">
        <v>139</v>
      </c>
      <c r="K9" s="14">
        <v>0</v>
      </c>
      <c r="L9" s="16">
        <v>0</v>
      </c>
      <c r="M9" s="14">
        <v>0</v>
      </c>
      <c r="N9" s="16">
        <v>0</v>
      </c>
      <c r="O9" s="14">
        <v>0</v>
      </c>
      <c r="P9" s="16">
        <v>0</v>
      </c>
      <c r="Q9" s="14">
        <v>0</v>
      </c>
      <c r="R9" s="16">
        <v>0</v>
      </c>
    </row>
    <row r="10" spans="1:18" x14ac:dyDescent="0.25">
      <c r="A10" s="11" t="s">
        <v>142</v>
      </c>
      <c r="B10" s="13">
        <v>10022</v>
      </c>
      <c r="C10" s="14">
        <f>(8295/B10*100)</f>
        <v>82.767910596687287</v>
      </c>
      <c r="D10" s="15">
        <v>1727</v>
      </c>
      <c r="E10" s="14">
        <v>30.840563280000001</v>
      </c>
      <c r="F10" s="16">
        <v>1.77709618</v>
      </c>
      <c r="G10" s="14">
        <v>69.159436720000002</v>
      </c>
      <c r="H10" s="16">
        <v>1.77709618</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(2881/B11*100)</f>
        <v>82.314285714285717</v>
      </c>
      <c r="D11" s="15">
        <v>619</v>
      </c>
      <c r="E11" s="14">
        <v>30.811790349999999</v>
      </c>
      <c r="F11" s="16">
        <v>2.2566515300000001</v>
      </c>
      <c r="G11" s="14">
        <v>69.188209650000005</v>
      </c>
      <c r="H11" s="16">
        <v>2.2566515300000001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(2861/B12*100)</f>
        <v>83.606078316773818</v>
      </c>
      <c r="D12" s="15">
        <v>561</v>
      </c>
      <c r="E12" s="14">
        <v>33.712082070000001</v>
      </c>
      <c r="F12" s="16">
        <v>2.3766886399999998</v>
      </c>
      <c r="G12" s="14">
        <v>66.287917930000006</v>
      </c>
      <c r="H12" s="16">
        <v>2.3766886399999998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22.56310019</v>
      </c>
      <c r="F13" s="16">
        <v>1.81625668</v>
      </c>
      <c r="G13" s="14">
        <v>77.43689981</v>
      </c>
      <c r="H13" s="16">
        <v>1.81625668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26.861375519999999</v>
      </c>
      <c r="F14" s="16">
        <v>2.1104896700000002</v>
      </c>
      <c r="G14" s="14">
        <v>73.138624480000004</v>
      </c>
      <c r="H14" s="16">
        <v>2.1104896700000002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39.077464509999999</v>
      </c>
      <c r="F15" s="16">
        <v>2.2554029099999999</v>
      </c>
      <c r="G15" s="14">
        <v>60.922535490000001</v>
      </c>
      <c r="H15" s="16">
        <v>2.2554029099999999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(2566/B16*100)</f>
        <v>82.481517197042749</v>
      </c>
      <c r="D16" s="15">
        <v>545</v>
      </c>
      <c r="E16" s="14">
        <v>48.690005929999998</v>
      </c>
      <c r="F16" s="16">
        <v>2.0257310799999999</v>
      </c>
      <c r="G16" s="14">
        <v>51.309994070000002</v>
      </c>
      <c r="H16" s="16">
        <v>2.0257310799999999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34.164087049999999</v>
      </c>
      <c r="F17" s="16">
        <v>2.1656020599999999</v>
      </c>
      <c r="G17" s="14">
        <v>65.835912949999994</v>
      </c>
      <c r="H17" s="16">
        <v>2.1656020599999999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(2232/B18*100)</f>
        <v>82.483370288248338</v>
      </c>
      <c r="D18" s="15">
        <v>474</v>
      </c>
      <c r="E18" s="14">
        <v>27.86528122</v>
      </c>
      <c r="F18" s="16">
        <v>2.3652169199999999</v>
      </c>
      <c r="G18" s="14">
        <v>72.13471878</v>
      </c>
      <c r="H18" s="16">
        <v>2.3652169199999999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49.988895929999998</v>
      </c>
      <c r="F19" s="16">
        <v>2.3185006499999998</v>
      </c>
      <c r="G19" s="14">
        <v>50.011104070000002</v>
      </c>
      <c r="H19" s="16">
        <v>2.3185006499999998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34.046335769999999</v>
      </c>
      <c r="F20" s="16">
        <v>2.65931278</v>
      </c>
      <c r="G20" s="14">
        <v>65.953664230000001</v>
      </c>
      <c r="H20" s="16">
        <v>2.65931278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40.226158339999998</v>
      </c>
      <c r="F22" s="16">
        <v>2.3585129999999999</v>
      </c>
      <c r="G22" s="14">
        <v>59.773841660000002</v>
      </c>
      <c r="H22" s="16">
        <v>2.3585129999999999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(4793/B23*100)</f>
        <v>82.752071823204417</v>
      </c>
      <c r="D23" s="15">
        <v>999</v>
      </c>
      <c r="E23" s="14">
        <v>45.207130970000001</v>
      </c>
      <c r="F23" s="16">
        <v>2.10470946</v>
      </c>
      <c r="G23" s="14">
        <v>54.792869029999999</v>
      </c>
      <c r="H23" s="16">
        <v>2.10470946</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2669</v>
      </c>
      <c r="C25" s="14">
        <f>(2205/B25*100)</f>
        <v>82.615211689771456</v>
      </c>
      <c r="D25" s="15">
        <v>464</v>
      </c>
      <c r="E25" s="14">
        <v>26.70081407</v>
      </c>
      <c r="F25" s="16">
        <v>2.3612412699999998</v>
      </c>
      <c r="G25" s="14">
        <v>73.299185929999993</v>
      </c>
      <c r="H25" s="16">
        <v>2.3612412699999998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44.654861480000001</v>
      </c>
      <c r="F26" s="16">
        <v>2.47407559</v>
      </c>
      <c r="G26" s="14">
        <v>55.345138519999999</v>
      </c>
      <c r="H26" s="16">
        <v>2.47407559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39.032198090000001</v>
      </c>
      <c r="F27" s="16">
        <v>2.0233674499999998</v>
      </c>
      <c r="G27" s="14">
        <v>60.967801909999999</v>
      </c>
      <c r="H27" s="16">
        <v>2.0233674499999998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(3154/B28*100)</f>
        <v>82.93452537470418</v>
      </c>
      <c r="D28" s="15">
        <v>649</v>
      </c>
      <c r="E28" s="14">
        <v>39.70219213</v>
      </c>
      <c r="F28" s="16">
        <v>2.3230416800000002</v>
      </c>
      <c r="G28" s="14">
        <v>60.29780787</v>
      </c>
      <c r="H28" s="16">
        <v>2.3230416800000002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21.81940638</v>
      </c>
      <c r="F29" s="16">
        <v>1.9857292</v>
      </c>
      <c r="G29" s="14">
        <v>78.180593619999996</v>
      </c>
      <c r="H29" s="16">
        <v>1.9857292</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23.86883941</v>
      </c>
      <c r="F30" s="16">
        <v>2.2342684199999998</v>
      </c>
      <c r="G30" s="14">
        <v>76.131160589999993</v>
      </c>
      <c r="H30" s="16">
        <v>2.2342684199999998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37.344916259999998</v>
      </c>
      <c r="F31" s="16">
        <v>2.58800097</v>
      </c>
      <c r="G31" s="14">
        <v>62.655083740000002</v>
      </c>
      <c r="H31" s="16">
        <v>2.58800097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(3028/B33*100)</f>
        <v>82.936181867981375</v>
      </c>
      <c r="D33" s="15">
        <v>623</v>
      </c>
      <c r="E33" s="14">
        <v>33.5549496</v>
      </c>
      <c r="F33" s="16">
        <v>1.95686779</v>
      </c>
      <c r="G33" s="14">
        <v>66.4450504</v>
      </c>
      <c r="H33" s="16">
        <v>1.95686779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54.600014770000001</v>
      </c>
      <c r="F34" s="16">
        <v>2.3916509700000002</v>
      </c>
      <c r="G34" s="14">
        <v>45.399985229999999</v>
      </c>
      <c r="H34" s="16">
        <v>2.3916509700000002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65.299326019999995</v>
      </c>
      <c r="F35" s="16">
        <v>2.4415762600000002</v>
      </c>
      <c r="G35" s="14">
        <v>34.700673979999998</v>
      </c>
      <c r="H35" s="16">
        <v>2.4415762600000002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33.365993930000002</v>
      </c>
      <c r="F36" s="16">
        <v>1.9685747099999999</v>
      </c>
      <c r="G36" s="14">
        <v>66.634006069999998</v>
      </c>
      <c r="H36" s="16">
        <v>1.9685747099999999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28.145564589999999</v>
      </c>
      <c r="F37" s="16">
        <v>2.0207052399999998</v>
      </c>
      <c r="G37" s="14">
        <v>71.854435409999994</v>
      </c>
      <c r="H37" s="16">
        <v>2.0207052399999998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62.890244109999998</v>
      </c>
      <c r="F39" s="16">
        <v>2.1209268099999998</v>
      </c>
      <c r="G39" s="14">
        <v>37.109755890000002</v>
      </c>
      <c r="H39" s="16">
        <v>2.1209268099999998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(5727/B40*100)</f>
        <v>82.736203409419247</v>
      </c>
      <c r="D40" s="15">
        <v>1195</v>
      </c>
      <c r="E40" s="14">
        <v>29.005252200000001</v>
      </c>
      <c r="F40" s="16">
        <v>2.0088158300000001</v>
      </c>
      <c r="G40" s="14">
        <v>70.994747799999999</v>
      </c>
      <c r="H40" s="16">
        <v>2.0088158300000001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29.042403620000002</v>
      </c>
      <c r="F41" s="16">
        <v>1.91578768</v>
      </c>
      <c r="G41" s="14">
        <v>70.957596379999998</v>
      </c>
      <c r="H41" s="16">
        <v>1.91578768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82.859732466278501</v>
      </c>
      <c r="D42" s="15">
        <f>IF(COUNT(D7:D41) &gt; 0, AVERAGE(D7:D41), "—")</f>
        <v>619.28125</v>
      </c>
      <c r="E42" s="14">
        <f>IF(COUNT(E7:E41) &gt; 0, AVERAGE(E7:E41), "—")</f>
        <v>35.217963635624997</v>
      </c>
      <c r="F42" s="16">
        <f>IF(COUNT(F7:F41) &gt; 0, SQRT(SUMSQ(F7:F41)/(COUNT(F7:F41)*COUNT(F7:F41)) ), "—")</f>
        <v>0.37603906498073703</v>
      </c>
      <c r="G42" s="14">
        <f>IF(COUNT(G7:G41) &gt; 0, AVERAGE(G7:G41), "—")</f>
        <v>61.657036364374996</v>
      </c>
      <c r="H42" s="16">
        <f>IF(COUNT(H7:H41) &gt; 0, SQRT(SUMSQ(H7:H41)/(COUNT(H7:H41)*COUNT(H7:H41)) ), "—")</f>
        <v>0.37603906498073703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(10177/B46*100)</f>
        <v>84.295535492421109</v>
      </c>
      <c r="D46" s="15">
        <v>1896</v>
      </c>
      <c r="E46" s="14">
        <v>41.234131130000002</v>
      </c>
      <c r="F46" s="16">
        <v>1.3563569499999999</v>
      </c>
      <c r="G46" s="14">
        <v>58.765868869999998</v>
      </c>
      <c r="H46" s="16">
        <v>1.3563569499999999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(2326/B47*100)</f>
        <v>82.394615657102378</v>
      </c>
      <c r="D47" s="15">
        <v>497</v>
      </c>
      <c r="E47" s="14">
        <v>40.160520259999998</v>
      </c>
      <c r="F47" s="16">
        <v>2.4379578</v>
      </c>
      <c r="G47" s="14">
        <v>59.839479740000002</v>
      </c>
      <c r="H47" s="16">
        <v>2.4379578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30.13848754</v>
      </c>
      <c r="F48" s="16">
        <v>2.22120944</v>
      </c>
      <c r="G48" s="14">
        <v>69.86151246</v>
      </c>
      <c r="H48" s="16">
        <v>2.22120944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(5105/B50*100)</f>
        <v>82.900292302695675</v>
      </c>
      <c r="D50" s="15">
        <v>1053</v>
      </c>
      <c r="E50" s="14">
        <v>36.306375889999998</v>
      </c>
      <c r="F50" s="16">
        <v>1.9622055</v>
      </c>
      <c r="G50" s="14">
        <v>63.693624110000002</v>
      </c>
      <c r="H50" s="16">
        <v>1.9622055</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(2967/B51*100)</f>
        <v>84.917000572409847</v>
      </c>
      <c r="D51" s="15">
        <v>527</v>
      </c>
      <c r="E51" s="14">
        <v>34.979407860000002</v>
      </c>
      <c r="F51" s="16">
        <v>2.5269640999999998</v>
      </c>
      <c r="G51" s="14">
        <v>65.020592140000005</v>
      </c>
      <c r="H51" s="16">
        <v>2.5269640999999998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33.976798700000003</v>
      </c>
      <c r="F52" s="16">
        <v>2.1752985800000002</v>
      </c>
      <c r="G52" s="14">
        <v>66.023201299999997</v>
      </c>
      <c r="H52" s="16">
        <v>2.1752985800000002</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38.381031100000001</v>
      </c>
      <c r="F53" s="16">
        <v>2.5354127599999998</v>
      </c>
      <c r="G53" s="14">
        <v>61.618968899999999</v>
      </c>
      <c r="H53" s="16">
        <v>2.5354127599999998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(2203/B56*100)</f>
        <v>82.355140186915889</v>
      </c>
      <c r="D56" s="15">
        <v>472</v>
      </c>
      <c r="E56" s="14">
        <v>19.946248969999999</v>
      </c>
      <c r="F56" s="16">
        <v>2.2628024</v>
      </c>
      <c r="G56" s="14">
        <v>80.053751030000001</v>
      </c>
      <c r="H56" s="16">
        <v>2.2628024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44.252621529999999</v>
      </c>
      <c r="F61" s="16">
        <v>2.3692411199999999</v>
      </c>
      <c r="G61" s="14">
        <v>55.747378470000001</v>
      </c>
      <c r="H61" s="16">
        <v>2.3692411199999999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31.612907839999998</v>
      </c>
      <c r="F62" s="16">
        <v>2.5642475400000002</v>
      </c>
      <c r="G62" s="14">
        <v>68.387092159999995</v>
      </c>
      <c r="H62" s="16">
        <v>2.5642475400000002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(2281/B66*100)</f>
        <v>82.316853121616745</v>
      </c>
      <c r="D66" s="15">
        <v>490</v>
      </c>
      <c r="E66" s="14">
        <v>40.700267199999999</v>
      </c>
      <c r="F66" s="16">
        <v>2.3128732099999998</v>
      </c>
      <c r="G66" s="14">
        <v>59.299732800000001</v>
      </c>
      <c r="H66" s="16">
        <v>2.3128732099999998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(2901/B67*100)</f>
        <v>83.843930635838149</v>
      </c>
      <c r="D67" s="15">
        <v>559</v>
      </c>
      <c r="E67" s="14">
        <v>42.590989440000001</v>
      </c>
      <c r="F67" s="16">
        <v>2.3414919900000002</v>
      </c>
      <c r="G67" s="14">
        <v>57.409010559999999</v>
      </c>
      <c r="H67" s="16">
        <v>2.3414919900000002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45.913653879999998</v>
      </c>
      <c r="F70" s="16">
        <v>2.43197391</v>
      </c>
      <c r="G70" s="14">
        <v>54.086346120000002</v>
      </c>
      <c r="H70" s="16">
        <v>2.43197391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(3155/B72*100)</f>
        <v>82.613249541764858</v>
      </c>
      <c r="D72" s="15">
        <v>664</v>
      </c>
      <c r="E72" s="14">
        <v>18.52299374</v>
      </c>
      <c r="F72" s="16">
        <v>1.4998101699999999</v>
      </c>
      <c r="G72" s="14">
        <v>81.477006259999996</v>
      </c>
      <c r="H72" s="16">
        <v>1.4998101699999999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(3871/B73*100)</f>
        <v>83.211521926053308</v>
      </c>
      <c r="D73" s="15">
        <v>781</v>
      </c>
      <c r="E73" s="14">
        <v>59.272242480000003</v>
      </c>
      <c r="F73" s="16">
        <v>2.2271875200000002</v>
      </c>
      <c r="G73" s="14">
        <v>40.727757519999997</v>
      </c>
      <c r="H73" s="16">
        <v>2.2271875200000002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(2493/B75*100)</f>
        <v>83.967665880767939</v>
      </c>
      <c r="D75" s="15">
        <v>476</v>
      </c>
      <c r="E75" s="14">
        <v>55.21886894</v>
      </c>
      <c r="F75" s="16">
        <v>2.64914841</v>
      </c>
      <c r="G75" s="14">
        <v>44.78113106</v>
      </c>
      <c r="H75" s="16">
        <v>2.64914841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39.786007929999997</v>
      </c>
      <c r="F76" s="16">
        <v>1.49878719</v>
      </c>
      <c r="G76" s="14">
        <v>60.213992070000003</v>
      </c>
      <c r="H76" s="16">
        <v>1.49878719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(2604/B77*100)</f>
        <v>82.561826252377941</v>
      </c>
      <c r="D77" s="15">
        <v>550</v>
      </c>
      <c r="E77" s="14">
        <v>37.816650770000003</v>
      </c>
      <c r="F77" s="16">
        <v>2.2945641299999999</v>
      </c>
      <c r="G77" s="14">
        <v>62.183349229999997</v>
      </c>
      <c r="H77" s="16">
        <v>2.2945641299999999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(3893/B81*100)</f>
        <v>82.865048957002983</v>
      </c>
      <c r="D81" s="15">
        <v>805</v>
      </c>
      <c r="E81" s="14">
        <v>43.030417120000003</v>
      </c>
      <c r="F81" s="16">
        <v>2.0653933000000002</v>
      </c>
      <c r="G81" s="14">
        <v>56.969582879999997</v>
      </c>
      <c r="H81" s="16">
        <v>2.0653933000000002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(5919/B7*100)</f>
        <v>82.632975010470474</v>
      </c>
      <c r="D7" s="15">
        <v>1244</v>
      </c>
      <c r="E7" s="14">
        <v>39.18759026</v>
      </c>
      <c r="F7" s="16">
        <v>1.44735448</v>
      </c>
      <c r="G7" s="14">
        <v>60.81240974</v>
      </c>
      <c r="H7" s="16">
        <v>1.44735448</v>
      </c>
      <c r="I7" s="14" t="s">
        <v>139</v>
      </c>
      <c r="J7" s="16" t="s">
        <v>139</v>
      </c>
      <c r="K7" s="14">
        <v>0</v>
      </c>
      <c r="L7" s="16">
        <v>0</v>
      </c>
      <c r="M7" s="14">
        <v>0</v>
      </c>
      <c r="N7" s="16">
        <v>0</v>
      </c>
      <c r="O7" s="14">
        <v>0</v>
      </c>
      <c r="P7" s="16">
        <v>0</v>
      </c>
      <c r="Q7" s="14">
        <v>0</v>
      </c>
      <c r="R7" s="16">
        <v>0</v>
      </c>
    </row>
    <row r="8" spans="1:18" x14ac:dyDescent="0.25">
      <c r="A8" s="11" t="s">
        <v>140</v>
      </c>
      <c r="B8" s="13">
        <v>3443</v>
      </c>
      <c r="C8" s="14">
        <f>(2824/B8*100)</f>
        <v>82.021492884112689</v>
      </c>
      <c r="D8" s="15">
        <v>619</v>
      </c>
      <c r="E8" s="14">
        <v>38.364648090000003</v>
      </c>
      <c r="F8" s="16">
        <v>1.9113470100000001</v>
      </c>
      <c r="G8" s="14">
        <v>61.635351909999997</v>
      </c>
      <c r="H8" s="16">
        <v>1.9113470100000001</v>
      </c>
      <c r="I8" s="14" t="s">
        <v>139</v>
      </c>
      <c r="J8" s="16" t="s">
        <v>139</v>
      </c>
      <c r="K8" s="14">
        <v>0</v>
      </c>
      <c r="L8" s="16">
        <v>0</v>
      </c>
      <c r="M8" s="14">
        <v>0</v>
      </c>
      <c r="N8" s="16">
        <v>0</v>
      </c>
      <c r="O8" s="14">
        <v>0</v>
      </c>
      <c r="P8" s="16">
        <v>0</v>
      </c>
      <c r="Q8" s="14">
        <v>0</v>
      </c>
      <c r="R8" s="16">
        <v>0</v>
      </c>
    </row>
    <row r="9" spans="1:18" x14ac:dyDescent="0.25">
      <c r="A9" s="11" t="s">
        <v>141</v>
      </c>
      <c r="B9" s="13">
        <v>4752</v>
      </c>
      <c r="C9" s="14">
        <f>(3959/B9*100)</f>
        <v>83.312289562289564</v>
      </c>
      <c r="D9" s="15">
        <v>793</v>
      </c>
      <c r="E9" s="14">
        <v>45.04358826</v>
      </c>
      <c r="F9" s="16">
        <v>1.6612416800000001</v>
      </c>
      <c r="G9" s="14">
        <v>54.95641174</v>
      </c>
      <c r="H9" s="16">
        <v>1.6612416800000001</v>
      </c>
      <c r="I9" s="14" t="s">
        <v>139</v>
      </c>
      <c r="J9" s="16" t="s">
        <v>139</v>
      </c>
      <c r="K9" s="14">
        <v>0</v>
      </c>
      <c r="L9" s="16">
        <v>0</v>
      </c>
      <c r="M9" s="14">
        <v>0</v>
      </c>
      <c r="N9" s="16">
        <v>0</v>
      </c>
      <c r="O9" s="14">
        <v>0</v>
      </c>
      <c r="P9" s="16">
        <v>0</v>
      </c>
      <c r="Q9" s="14">
        <v>0</v>
      </c>
      <c r="R9" s="16">
        <v>0</v>
      </c>
    </row>
    <row r="10" spans="1:18" x14ac:dyDescent="0.25">
      <c r="A10" s="11" t="s">
        <v>142</v>
      </c>
      <c r="B10" s="13">
        <v>10022</v>
      </c>
      <c r="C10" s="14">
        <f>(8295/B10*100)</f>
        <v>82.767910596687287</v>
      </c>
      <c r="D10" s="15">
        <v>1727</v>
      </c>
      <c r="E10" s="14">
        <v>34.373808050000001</v>
      </c>
      <c r="F10" s="16">
        <v>1.4848769100000001</v>
      </c>
      <c r="G10" s="14">
        <v>65.626191950000006</v>
      </c>
      <c r="H10" s="16">
        <v>1.4848769100000001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(2881/B11*100)</f>
        <v>82.314285714285717</v>
      </c>
      <c r="D11" s="15">
        <v>619</v>
      </c>
      <c r="E11" s="14">
        <v>61.885115990000003</v>
      </c>
      <c r="F11" s="16">
        <v>2.2584787400000002</v>
      </c>
      <c r="G11" s="14">
        <v>38.114884009999997</v>
      </c>
      <c r="H11" s="16">
        <v>2.2584787400000002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(2861/B12*100)</f>
        <v>83.606078316773818</v>
      </c>
      <c r="D12" s="15">
        <v>561</v>
      </c>
      <c r="E12" s="14">
        <v>37.108434219999999</v>
      </c>
      <c r="F12" s="16">
        <v>1.9276816999999999</v>
      </c>
      <c r="G12" s="14">
        <v>62.891565780000001</v>
      </c>
      <c r="H12" s="16">
        <v>1.9276816999999999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51.854782129999997</v>
      </c>
      <c r="F13" s="16">
        <v>2.4615286300000001</v>
      </c>
      <c r="G13" s="14">
        <v>48.145217870000003</v>
      </c>
      <c r="H13" s="16">
        <v>2.4615286300000001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30.079474099999999</v>
      </c>
      <c r="F14" s="16">
        <v>2.1838094099999998</v>
      </c>
      <c r="G14" s="14">
        <v>69.920525900000001</v>
      </c>
      <c r="H14" s="16">
        <v>2.1838094099999998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55.932692979999999</v>
      </c>
      <c r="F15" s="16">
        <v>2.2810306900000001</v>
      </c>
      <c r="G15" s="14">
        <v>44.067307020000001</v>
      </c>
      <c r="H15" s="16">
        <v>2.2810306900000001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(2566/B16*100)</f>
        <v>82.481517197042749</v>
      </c>
      <c r="D16" s="15">
        <v>545</v>
      </c>
      <c r="E16" s="14">
        <v>41.338214100000002</v>
      </c>
      <c r="F16" s="16">
        <v>1.85490936</v>
      </c>
      <c r="G16" s="14">
        <v>58.661785899999998</v>
      </c>
      <c r="H16" s="16">
        <v>1.85490936</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34.823182580000001</v>
      </c>
      <c r="F17" s="16">
        <v>2.0434865599999998</v>
      </c>
      <c r="G17" s="14">
        <v>65.176817420000006</v>
      </c>
      <c r="H17" s="16">
        <v>2.0434865599999998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(2232/B18*100)</f>
        <v>82.483370288248338</v>
      </c>
      <c r="D18" s="15">
        <v>474</v>
      </c>
      <c r="E18" s="14">
        <v>54.813834759999999</v>
      </c>
      <c r="F18" s="16">
        <v>2.4356026499999999</v>
      </c>
      <c r="G18" s="14">
        <v>45.186165240000001</v>
      </c>
      <c r="H18" s="16">
        <v>2.4356026499999999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46.493450320000001</v>
      </c>
      <c r="F19" s="16">
        <v>1.9977226299999999</v>
      </c>
      <c r="G19" s="14">
        <v>53.506549679999999</v>
      </c>
      <c r="H19" s="16">
        <v>1.9977226299999999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61.832885079999997</v>
      </c>
      <c r="F20" s="16">
        <v>2.8976621100000002</v>
      </c>
      <c r="G20" s="14">
        <v>38.167114920000003</v>
      </c>
      <c r="H20" s="16">
        <v>2.8976621100000002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53.786276059999999</v>
      </c>
      <c r="F22" s="16">
        <v>2.3391279800000002</v>
      </c>
      <c r="G22" s="14">
        <v>46.213723940000001</v>
      </c>
      <c r="H22" s="16">
        <v>2.3391279800000002</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(4793/B23*100)</f>
        <v>82.752071823204417</v>
      </c>
      <c r="D23" s="15">
        <v>999</v>
      </c>
      <c r="E23" s="14">
        <v>59.707445659999998</v>
      </c>
      <c r="F23" s="16">
        <v>2.0310672400000001</v>
      </c>
      <c r="G23" s="14">
        <v>40.292554340000002</v>
      </c>
      <c r="H23" s="16">
        <v>2.0310672400000001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20.36128136</v>
      </c>
      <c r="F24" s="16">
        <v>1.6450169299999999</v>
      </c>
      <c r="G24" s="14">
        <v>79.638718639999993</v>
      </c>
      <c r="H24" s="16">
        <v>1.6450169299999999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26.40630148</v>
      </c>
      <c r="F25" s="16">
        <v>2.08133115</v>
      </c>
      <c r="G25" s="14">
        <v>73.593698520000004</v>
      </c>
      <c r="H25" s="16">
        <v>2.08133115</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48.142925890000001</v>
      </c>
      <c r="F26" s="16">
        <v>2.0931202899999999</v>
      </c>
      <c r="G26" s="14">
        <v>51.857074109999999</v>
      </c>
      <c r="H26" s="16">
        <v>2.0931202899999999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41.298282319999998</v>
      </c>
      <c r="F27" s="16">
        <v>2.3052555400000001</v>
      </c>
      <c r="G27" s="14">
        <v>58.701717680000002</v>
      </c>
      <c r="H27" s="16">
        <v>2.3052555400000001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(3154/B28*100)</f>
        <v>82.93452537470418</v>
      </c>
      <c r="D28" s="15">
        <v>649</v>
      </c>
      <c r="E28" s="14">
        <v>63.29386409</v>
      </c>
      <c r="F28" s="16">
        <v>2.04403523</v>
      </c>
      <c r="G28" s="14">
        <v>36.70613591</v>
      </c>
      <c r="H28" s="16">
        <v>2.04403523</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38.345580050000002</v>
      </c>
      <c r="F29" s="16">
        <v>2.1890943100000002</v>
      </c>
      <c r="G29" s="14">
        <v>61.654419949999998</v>
      </c>
      <c r="H29" s="16">
        <v>2.1890943100000002</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40.653012080000003</v>
      </c>
      <c r="F30" s="16">
        <v>2.2765075100000001</v>
      </c>
      <c r="G30" s="14">
        <v>59.346987919999997</v>
      </c>
      <c r="H30" s="16">
        <v>2.2765075100000001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51.718208599999997</v>
      </c>
      <c r="F31" s="16">
        <v>2.6144504500000001</v>
      </c>
      <c r="G31" s="14">
        <v>48.281791400000003</v>
      </c>
      <c r="H31" s="16">
        <v>2.6144504500000001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(3028/B33*100)</f>
        <v>82.936181867981375</v>
      </c>
      <c r="D33" s="15">
        <v>623</v>
      </c>
      <c r="E33" s="14">
        <v>42.098520389999997</v>
      </c>
      <c r="F33" s="16">
        <v>2.32507149</v>
      </c>
      <c r="G33" s="14">
        <v>57.901479610000003</v>
      </c>
      <c r="H33" s="16">
        <v>2.32507149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52.725822649999998</v>
      </c>
      <c r="F34" s="16">
        <v>2.3553906800000002</v>
      </c>
      <c r="G34" s="14">
        <v>47.274177350000002</v>
      </c>
      <c r="H34" s="16">
        <v>2.3553906800000002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43.474471530000002</v>
      </c>
      <c r="F35" s="16">
        <v>2.7465400899999999</v>
      </c>
      <c r="G35" s="14">
        <v>56.525528469999998</v>
      </c>
      <c r="H35" s="16">
        <v>2.7465400899999999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42.995293240000002</v>
      </c>
      <c r="F36" s="16">
        <v>2.2001441100000001</v>
      </c>
      <c r="G36" s="14">
        <v>57.004706759999998</v>
      </c>
      <c r="H36" s="16">
        <v>2.2001441100000001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49.702603140000001</v>
      </c>
      <c r="F37" s="16">
        <v>2.7708203899999999</v>
      </c>
      <c r="G37" s="14">
        <v>50.297396859999999</v>
      </c>
      <c r="H37" s="16">
        <v>2.7708203899999999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56.663894489999997</v>
      </c>
      <c r="F39" s="16">
        <v>2.2786918100000002</v>
      </c>
      <c r="G39" s="14">
        <v>43.336105510000003</v>
      </c>
      <c r="H39" s="16">
        <v>2.2786918100000002</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(5727/B40*100)</f>
        <v>82.736203409419247</v>
      </c>
      <c r="D40" s="15">
        <v>1195</v>
      </c>
      <c r="E40" s="14">
        <v>38.458195089999997</v>
      </c>
      <c r="F40" s="16">
        <v>2.2172466000000002</v>
      </c>
      <c r="G40" s="14">
        <v>61.541804910000003</v>
      </c>
      <c r="H40" s="16">
        <v>2.2172466000000002</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39.710606800000001</v>
      </c>
      <c r="F41" s="16">
        <v>2.2635132800000002</v>
      </c>
      <c r="G41" s="14">
        <v>60.289393199999999</v>
      </c>
      <c r="H41" s="16">
        <v>2.2635132800000002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82.859732466278501</v>
      </c>
      <c r="D42" s="15">
        <f>IF(COUNT(D7:D41) &gt; 0, AVERAGE(D7:D41), "—")</f>
        <v>619.28125</v>
      </c>
      <c r="E42" s="14">
        <f>IF(COUNT(E7:E41) &gt; 0, AVERAGE(E7:E41), "—")</f>
        <v>45.083571432500001</v>
      </c>
      <c r="F42" s="16">
        <f>IF(COUNT(F7:F41) &gt; 0, SQRT(SUMSQ(F7:F41)/(COUNT(F7:F41)*COUNT(F7:F41)) ), "—")</f>
        <v>0.38913754466222411</v>
      </c>
      <c r="G42" s="14">
        <f>IF(COUNT(G7:G41) &gt; 0, AVERAGE(G7:G41), "—")</f>
        <v>54.916428567499999</v>
      </c>
      <c r="H42" s="16">
        <f>IF(COUNT(H7:H41) &gt; 0, SQRT(SUMSQ(H7:H41)/(COUNT(H7:H41)*COUNT(H7:H41)) ), "—")</f>
        <v>0.38913754466222411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(10177/B46*100)</f>
        <v>84.295535492421109</v>
      </c>
      <c r="D46" s="15">
        <v>1896</v>
      </c>
      <c r="E46" s="14">
        <v>60.851211849999999</v>
      </c>
      <c r="F46" s="16">
        <v>1.6032764799999999</v>
      </c>
      <c r="G46" s="14">
        <v>39.148788150000001</v>
      </c>
      <c r="H46" s="16">
        <v>1.6032764799999999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(2326/B47*100)</f>
        <v>82.394615657102378</v>
      </c>
      <c r="D47" s="15">
        <v>497</v>
      </c>
      <c r="E47" s="14">
        <v>59.358904959999997</v>
      </c>
      <c r="F47" s="16">
        <v>2.3588592300000002</v>
      </c>
      <c r="G47" s="14">
        <v>40.641095040000003</v>
      </c>
      <c r="H47" s="16">
        <v>2.3588592300000002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27.40477383</v>
      </c>
      <c r="F48" s="16">
        <v>2.5946106800000002</v>
      </c>
      <c r="G48" s="14">
        <v>72.595226170000004</v>
      </c>
      <c r="H48" s="16">
        <v>2.5946106800000002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(5105/B50*100)</f>
        <v>82.900292302695675</v>
      </c>
      <c r="D50" s="15">
        <v>1053</v>
      </c>
      <c r="E50" s="14">
        <v>62.591012900000003</v>
      </c>
      <c r="F50" s="16">
        <v>1.85998124</v>
      </c>
      <c r="G50" s="14">
        <v>37.408987099999997</v>
      </c>
      <c r="H50" s="16">
        <v>1.85998124</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(2967/B51*100)</f>
        <v>84.917000572409847</v>
      </c>
      <c r="D51" s="15">
        <v>527</v>
      </c>
      <c r="E51" s="14">
        <v>58.352928630000001</v>
      </c>
      <c r="F51" s="16">
        <v>2.2184411399999999</v>
      </c>
      <c r="G51" s="14">
        <v>41.647071369999999</v>
      </c>
      <c r="H51" s="16">
        <v>2.2184411399999999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52.65829059</v>
      </c>
      <c r="F52" s="16">
        <v>2.3494224699999999</v>
      </c>
      <c r="G52" s="14">
        <v>47.34170941</v>
      </c>
      <c r="H52" s="16">
        <v>2.3494224699999999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51.640599170000002</v>
      </c>
      <c r="F53" s="16">
        <v>2.2984183200000001</v>
      </c>
      <c r="G53" s="14">
        <v>48.359400829999998</v>
      </c>
      <c r="H53" s="16">
        <v>2.2984183200000001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(2203/B56*100)</f>
        <v>82.355140186915889</v>
      </c>
      <c r="D56" s="15">
        <v>472</v>
      </c>
      <c r="E56" s="14">
        <v>15.86188245</v>
      </c>
      <c r="F56" s="16">
        <v>1.69648463</v>
      </c>
      <c r="G56" s="14">
        <v>84.138117550000004</v>
      </c>
      <c r="H56" s="16">
        <v>1.69648463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49.400431429999998</v>
      </c>
      <c r="F61" s="16">
        <v>1.9388049300000001</v>
      </c>
      <c r="G61" s="14">
        <v>50.599568570000002</v>
      </c>
      <c r="H61" s="16">
        <v>1.9388049300000001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20.617314180000001</v>
      </c>
      <c r="F62" s="16">
        <v>1.99793441</v>
      </c>
      <c r="G62" s="14">
        <v>79.382685820000006</v>
      </c>
      <c r="H62" s="16">
        <v>1.99793441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(2281/B66*100)</f>
        <v>82.316853121616745</v>
      </c>
      <c r="D66" s="15">
        <v>490</v>
      </c>
      <c r="E66" s="14">
        <v>59.31760783</v>
      </c>
      <c r="F66" s="16">
        <v>2.4992045200000002</v>
      </c>
      <c r="G66" s="14">
        <v>40.68239217</v>
      </c>
      <c r="H66" s="16">
        <v>2.4992045200000002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(2901/B67*100)</f>
        <v>83.843930635838149</v>
      </c>
      <c r="D67" s="15">
        <v>559</v>
      </c>
      <c r="E67" s="14">
        <v>59.70166657</v>
      </c>
      <c r="F67" s="16">
        <v>1.9250485399999999</v>
      </c>
      <c r="G67" s="14">
        <v>40.29833343</v>
      </c>
      <c r="H67" s="16">
        <v>1.9250485399999999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46.392985580000001</v>
      </c>
      <c r="F70" s="16">
        <v>2.57446763</v>
      </c>
      <c r="G70" s="14">
        <v>53.607014419999999</v>
      </c>
      <c r="H70" s="16">
        <v>2.57446763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(3155/B72*100)</f>
        <v>82.613249541764858</v>
      </c>
      <c r="D72" s="15">
        <v>664</v>
      </c>
      <c r="E72" s="14">
        <v>29.30345573</v>
      </c>
      <c r="F72" s="16">
        <v>2.1521705299999998</v>
      </c>
      <c r="G72" s="14">
        <v>70.696544270000004</v>
      </c>
      <c r="H72" s="16">
        <v>2.1521705299999998</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(3871/B73*100)</f>
        <v>83.211521926053308</v>
      </c>
      <c r="D73" s="15">
        <v>781</v>
      </c>
      <c r="E73" s="14">
        <v>38.911486310000001</v>
      </c>
      <c r="F73" s="16">
        <v>2.4331503799999998</v>
      </c>
      <c r="G73" s="14">
        <v>61.088513689999999</v>
      </c>
      <c r="H73" s="16">
        <v>2.4331503799999998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(2493/B75*100)</f>
        <v>83.967665880767939</v>
      </c>
      <c r="D75" s="15">
        <v>476</v>
      </c>
      <c r="E75" s="14">
        <v>66.697815320000004</v>
      </c>
      <c r="F75" s="16">
        <v>1.90720891</v>
      </c>
      <c r="G75" s="14">
        <v>33.302184680000003</v>
      </c>
      <c r="H75" s="16">
        <v>1.90720891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40.207061359999997</v>
      </c>
      <c r="F76" s="16">
        <v>1.7868587600000001</v>
      </c>
      <c r="G76" s="14">
        <v>59.792938640000003</v>
      </c>
      <c r="H76" s="16">
        <v>1.7868587600000001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(2604/B77*100)</f>
        <v>82.561826252377941</v>
      </c>
      <c r="D77" s="15">
        <v>550</v>
      </c>
      <c r="E77" s="14">
        <v>60.285467089999997</v>
      </c>
      <c r="F77" s="16">
        <v>2.10501396</v>
      </c>
      <c r="G77" s="14">
        <v>39.714532910000003</v>
      </c>
      <c r="H77" s="16">
        <v>2.10501396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(3893/B81*100)</f>
        <v>82.865048957002983</v>
      </c>
      <c r="D81" s="15">
        <v>805</v>
      </c>
      <c r="E81" s="14">
        <v>33.216987490000001</v>
      </c>
      <c r="F81" s="16">
        <v>2.1776846000000001</v>
      </c>
      <c r="G81" s="14">
        <v>66.783012510000006</v>
      </c>
      <c r="H81" s="16">
        <v>2.1776846000000001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(5919/B7*100)</f>
        <v>82.632975010470474</v>
      </c>
      <c r="D7" s="15">
        <v>1244</v>
      </c>
      <c r="E7" s="14">
        <v>25.40373438</v>
      </c>
      <c r="F7" s="16">
        <v>1.5646735199999999</v>
      </c>
      <c r="G7" s="14">
        <v>74.596265619999997</v>
      </c>
      <c r="H7" s="16">
        <v>1.5646735199999999</v>
      </c>
      <c r="I7" s="14" t="s">
        <v>139</v>
      </c>
      <c r="J7" s="16" t="s">
        <v>139</v>
      </c>
      <c r="K7" s="14">
        <v>0</v>
      </c>
      <c r="L7" s="16">
        <v>0</v>
      </c>
      <c r="M7" s="14">
        <v>0</v>
      </c>
      <c r="N7" s="16">
        <v>0</v>
      </c>
      <c r="O7" s="14">
        <v>0</v>
      </c>
      <c r="P7" s="16">
        <v>0</v>
      </c>
      <c r="Q7" s="14">
        <v>0</v>
      </c>
      <c r="R7" s="16">
        <v>0</v>
      </c>
    </row>
    <row r="8" spans="1:18" x14ac:dyDescent="0.25">
      <c r="A8" s="11" t="s">
        <v>140</v>
      </c>
      <c r="B8" s="13">
        <v>3443</v>
      </c>
      <c r="C8" s="14">
        <f>(2824/B8*100)</f>
        <v>82.021492884112689</v>
      </c>
      <c r="D8" s="15">
        <v>619</v>
      </c>
      <c r="E8" s="14">
        <v>26.90520222</v>
      </c>
      <c r="F8" s="16">
        <v>1.9859517600000001</v>
      </c>
      <c r="G8" s="14">
        <v>73.094797779999993</v>
      </c>
      <c r="H8" s="16">
        <v>1.9859517600000001</v>
      </c>
      <c r="I8" s="14" t="s">
        <v>139</v>
      </c>
      <c r="J8" s="16" t="s">
        <v>139</v>
      </c>
      <c r="K8" s="14">
        <v>0</v>
      </c>
      <c r="L8" s="16">
        <v>0</v>
      </c>
      <c r="M8" s="14">
        <v>0</v>
      </c>
      <c r="N8" s="16">
        <v>0</v>
      </c>
      <c r="O8" s="14">
        <v>0</v>
      </c>
      <c r="P8" s="16">
        <v>0</v>
      </c>
      <c r="Q8" s="14">
        <v>0</v>
      </c>
      <c r="R8" s="16">
        <v>0</v>
      </c>
    </row>
    <row r="9" spans="1:18" x14ac:dyDescent="0.25">
      <c r="A9" s="11" t="s">
        <v>141</v>
      </c>
      <c r="B9" s="13">
        <v>4752</v>
      </c>
      <c r="C9" s="14">
        <f>(3959/B9*100)</f>
        <v>83.312289562289564</v>
      </c>
      <c r="D9" s="15">
        <v>793</v>
      </c>
      <c r="E9" s="14">
        <v>19.474168949999999</v>
      </c>
      <c r="F9" s="16">
        <v>1.7964809799999999</v>
      </c>
      <c r="G9" s="14">
        <v>80.525831049999994</v>
      </c>
      <c r="H9" s="16">
        <v>1.7964809799999999</v>
      </c>
      <c r="I9" s="14" t="s">
        <v>139</v>
      </c>
      <c r="J9" s="16" t="s">
        <v>139</v>
      </c>
      <c r="K9" s="14">
        <v>0</v>
      </c>
      <c r="L9" s="16">
        <v>0</v>
      </c>
      <c r="M9" s="14">
        <v>0</v>
      </c>
      <c r="N9" s="16">
        <v>0</v>
      </c>
      <c r="O9" s="14">
        <v>0</v>
      </c>
      <c r="P9" s="16">
        <v>0</v>
      </c>
      <c r="Q9" s="14">
        <v>0</v>
      </c>
      <c r="R9" s="16">
        <v>0</v>
      </c>
    </row>
    <row r="10" spans="1:18" x14ac:dyDescent="0.25">
      <c r="A10" s="11" t="s">
        <v>142</v>
      </c>
      <c r="B10" s="13">
        <v>10022</v>
      </c>
      <c r="C10" s="14">
        <f>(8295/B10*100)</f>
        <v>82.767910596687287</v>
      </c>
      <c r="D10" s="15">
        <v>1727</v>
      </c>
      <c r="E10" s="14">
        <v>21.666433519999998</v>
      </c>
      <c r="F10" s="16">
        <v>1.42923957</v>
      </c>
      <c r="G10" s="14">
        <v>78.333566480000002</v>
      </c>
      <c r="H10" s="16">
        <v>1.42923957</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(2881/B11*100)</f>
        <v>82.314285714285717</v>
      </c>
      <c r="D11" s="15">
        <v>619</v>
      </c>
      <c r="E11" s="14">
        <v>37.312834649999999</v>
      </c>
      <c r="F11" s="16">
        <v>1.84303576</v>
      </c>
      <c r="G11" s="14">
        <v>62.687165350000001</v>
      </c>
      <c r="H11" s="16">
        <v>1.84303576</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(2861/B12*100)</f>
        <v>83.606078316773818</v>
      </c>
      <c r="D12" s="15">
        <v>561</v>
      </c>
      <c r="E12" s="14">
        <v>23.583672440000001</v>
      </c>
      <c r="F12" s="16">
        <v>2.1862444000000001</v>
      </c>
      <c r="G12" s="14">
        <v>76.416327559999999</v>
      </c>
      <c r="H12" s="16">
        <v>2.1862444000000001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19.513157580000001</v>
      </c>
      <c r="F13" s="16">
        <v>1.8712168199999999</v>
      </c>
      <c r="G13" s="14">
        <v>80.486842420000002</v>
      </c>
      <c r="H13" s="16">
        <v>1.8712168199999999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15.635179040000001</v>
      </c>
      <c r="F14" s="16">
        <v>1.79430154</v>
      </c>
      <c r="G14" s="14">
        <v>84.364820960000003</v>
      </c>
      <c r="H14" s="16">
        <v>1.79430154</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10.111623209999999</v>
      </c>
      <c r="F15" s="16">
        <v>1.42268968</v>
      </c>
      <c r="G15" s="14">
        <v>89.888376789999995</v>
      </c>
      <c r="H15" s="16">
        <v>1.42268968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(2566/B16*100)</f>
        <v>82.481517197042749</v>
      </c>
      <c r="D16" s="15">
        <v>545</v>
      </c>
      <c r="E16" s="14">
        <v>28.931489930000001</v>
      </c>
      <c r="F16" s="16">
        <v>1.7900527399999999</v>
      </c>
      <c r="G16" s="14">
        <v>71.068510070000002</v>
      </c>
      <c r="H16" s="16">
        <v>1.7900527399999999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24.54357323</v>
      </c>
      <c r="F17" s="16">
        <v>1.86005128</v>
      </c>
      <c r="G17" s="14">
        <v>75.456426769999993</v>
      </c>
      <c r="H17" s="16">
        <v>1.86005128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(2232/B18*100)</f>
        <v>82.483370288248338</v>
      </c>
      <c r="D18" s="15">
        <v>474</v>
      </c>
      <c r="E18" s="14">
        <v>20.133500000000002</v>
      </c>
      <c r="F18" s="16">
        <v>2.31278607</v>
      </c>
      <c r="G18" s="14">
        <v>79.866500000000002</v>
      </c>
      <c r="H18" s="16">
        <v>2.31278607</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29.308604720000002</v>
      </c>
      <c r="F19" s="16">
        <v>2.5245806200000001</v>
      </c>
      <c r="G19" s="14">
        <v>70.691395279999995</v>
      </c>
      <c r="H19" s="16">
        <v>2.5245806200000001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28.35118563</v>
      </c>
      <c r="F20" s="16">
        <v>2.71978732</v>
      </c>
      <c r="G20" s="14">
        <v>71.648814369999997</v>
      </c>
      <c r="H20" s="16">
        <v>2.71978732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30.452278400000001</v>
      </c>
      <c r="F22" s="16">
        <v>1.7815937399999999</v>
      </c>
      <c r="G22" s="14">
        <v>69.547721600000003</v>
      </c>
      <c r="H22" s="16">
        <v>1.7815937399999999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(4793/B23*100)</f>
        <v>82.752071823204417</v>
      </c>
      <c r="D23" s="15">
        <v>999</v>
      </c>
      <c r="E23" s="14">
        <v>32.6930166</v>
      </c>
      <c r="F23" s="16">
        <v>2.65826356</v>
      </c>
      <c r="G23" s="14">
        <v>67.306983399999993</v>
      </c>
      <c r="H23" s="16">
        <v>2.65826356</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23.231739990000001</v>
      </c>
      <c r="F24" s="16">
        <v>1.58716597</v>
      </c>
      <c r="G24" s="14">
        <v>76.768260010000006</v>
      </c>
      <c r="H24" s="16">
        <v>1.58716597</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25.089393479999998</v>
      </c>
      <c r="F25" s="16">
        <v>1.8903066500000001</v>
      </c>
      <c r="G25" s="14">
        <v>74.910606520000002</v>
      </c>
      <c r="H25" s="16">
        <v>1.8903066500000001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28.72314622</v>
      </c>
      <c r="F26" s="16">
        <v>2.39894842</v>
      </c>
      <c r="G26" s="14">
        <v>71.276853779999996</v>
      </c>
      <c r="H26" s="16">
        <v>2.39894842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27.938793270000001</v>
      </c>
      <c r="F27" s="16">
        <v>2.1166383400000002</v>
      </c>
      <c r="G27" s="14">
        <v>72.061206729999995</v>
      </c>
      <c r="H27" s="16">
        <v>2.1166383400000002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(3154/B28*100)</f>
        <v>82.93452537470418</v>
      </c>
      <c r="D28" s="15">
        <v>649</v>
      </c>
      <c r="E28" s="14">
        <v>26.495222829999999</v>
      </c>
      <c r="F28" s="16">
        <v>1.74120535</v>
      </c>
      <c r="G28" s="14">
        <v>73.504777169999997</v>
      </c>
      <c r="H28" s="16">
        <v>1.74120535</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22.587825939999998</v>
      </c>
      <c r="F29" s="16">
        <v>1.5837006899999999</v>
      </c>
      <c r="G29" s="14">
        <v>77.412174059999998</v>
      </c>
      <c r="H29" s="16">
        <v>1.5837006899999999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25.89742597</v>
      </c>
      <c r="F30" s="16">
        <v>2.3046022499999999</v>
      </c>
      <c r="G30" s="14">
        <v>74.10257403</v>
      </c>
      <c r="H30" s="16">
        <v>2.3046022499999999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15.64406196</v>
      </c>
      <c r="F31" s="16">
        <v>1.96281313</v>
      </c>
      <c r="G31" s="14">
        <v>84.355938039999998</v>
      </c>
      <c r="H31" s="16">
        <v>1.96281313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(3028/B33*100)</f>
        <v>82.936181867981375</v>
      </c>
      <c r="D33" s="15">
        <v>623</v>
      </c>
      <c r="E33" s="14">
        <v>26.759354200000001</v>
      </c>
      <c r="F33" s="16">
        <v>2.0751120099999998</v>
      </c>
      <c r="G33" s="14">
        <v>73.240645799999996</v>
      </c>
      <c r="H33" s="16">
        <v>2.0751120099999998</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29.590042409999999</v>
      </c>
      <c r="F34" s="16">
        <v>2.4018560500000001</v>
      </c>
      <c r="G34" s="14">
        <v>70.409957590000005</v>
      </c>
      <c r="H34" s="16">
        <v>2.4018560500000001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14.711189600000001</v>
      </c>
      <c r="F35" s="16">
        <v>1.9179287199999999</v>
      </c>
      <c r="G35" s="14">
        <v>85.288810400000003</v>
      </c>
      <c r="H35" s="16">
        <v>1.9179287199999999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21.946711489999998</v>
      </c>
      <c r="F36" s="16">
        <v>1.8867850799999999</v>
      </c>
      <c r="G36" s="14">
        <v>78.053288510000002</v>
      </c>
      <c r="H36" s="16">
        <v>1.8867850799999999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16.784023990000001</v>
      </c>
      <c r="F37" s="16">
        <v>1.64028785</v>
      </c>
      <c r="G37" s="14">
        <v>83.215976010000006</v>
      </c>
      <c r="H37" s="16">
        <v>1.64028785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48.744470389999996</v>
      </c>
      <c r="F39" s="16">
        <v>1.8689791499999999</v>
      </c>
      <c r="G39" s="14">
        <v>51.255529610000004</v>
      </c>
      <c r="H39" s="16">
        <v>1.8689791499999999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(5727/B40*100)</f>
        <v>82.736203409419247</v>
      </c>
      <c r="D40" s="15">
        <v>1195</v>
      </c>
      <c r="E40" s="14">
        <v>23.8090175</v>
      </c>
      <c r="F40" s="16">
        <v>1.89100622</v>
      </c>
      <c r="G40" s="14">
        <v>76.190982500000004</v>
      </c>
      <c r="H40" s="16">
        <v>1.89100622</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32.095448900000001</v>
      </c>
      <c r="F41" s="16">
        <v>2.3074686799999999</v>
      </c>
      <c r="G41" s="14">
        <v>67.904551100000006</v>
      </c>
      <c r="H41" s="16">
        <v>2.3074686799999999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82.859732466278501</v>
      </c>
      <c r="D42" s="15">
        <f>IF(COUNT(D7:D41) &gt; 0, AVERAGE(D7:D41), "—")</f>
        <v>619.28125</v>
      </c>
      <c r="E42" s="14">
        <f>IF(COUNT(E7:E41) &gt; 0, AVERAGE(E7:E41), "—")</f>
        <v>25.1271100825</v>
      </c>
      <c r="F42" s="16">
        <f>IF(COUNT(F7:F41) &gt; 0, SQRT(SUMSQ(F7:F41)/(COUNT(F7:F41)*COUNT(F7:F41)) ), "—")</f>
        <v>0.35360385319004733</v>
      </c>
      <c r="G42" s="14">
        <f>IF(COUNT(G7:G41) &gt; 0, AVERAGE(G7:G41), "—")</f>
        <v>74.87288991749999</v>
      </c>
      <c r="H42" s="16">
        <f>IF(COUNT(H7:H41) &gt; 0, SQRT(SUMSQ(H7:H41)/(COUNT(H7:H41)*COUNT(H7:H41)) ), "—")</f>
        <v>0.35360385319004733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(10177/B46*100)</f>
        <v>84.295535492421109</v>
      </c>
      <c r="D46" s="15">
        <v>1896</v>
      </c>
      <c r="E46" s="14">
        <v>51.89911833</v>
      </c>
      <c r="F46" s="16">
        <v>1.2998967299999999</v>
      </c>
      <c r="G46" s="14">
        <v>48.10088167</v>
      </c>
      <c r="H46" s="16">
        <v>1.2998967299999999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(2326/B47*100)</f>
        <v>82.394615657102378</v>
      </c>
      <c r="D47" s="15">
        <v>497</v>
      </c>
      <c r="E47" s="14">
        <v>29.859200510000001</v>
      </c>
      <c r="F47" s="16">
        <v>1.7898408400000001</v>
      </c>
      <c r="G47" s="14">
        <v>70.140799490000006</v>
      </c>
      <c r="H47" s="16">
        <v>1.7898408400000001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36.642749479999999</v>
      </c>
      <c r="F48" s="16">
        <v>2.1246681199999999</v>
      </c>
      <c r="G48" s="14">
        <v>63.357250520000001</v>
      </c>
      <c r="H48" s="16">
        <v>2.1246681199999999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(5105/B50*100)</f>
        <v>82.900292302695675</v>
      </c>
      <c r="D50" s="15">
        <v>1053</v>
      </c>
      <c r="E50" s="14">
        <v>46.708324359999999</v>
      </c>
      <c r="F50" s="16">
        <v>1.8671898</v>
      </c>
      <c r="G50" s="14">
        <v>53.291675640000001</v>
      </c>
      <c r="H50" s="16">
        <v>1.8671898</v>
      </c>
      <c r="I50" s="14" t="s">
        <v>139</v>
      </c>
      <c r="J50" s="16" t="s">
        <v>139</v>
      </c>
      <c r="K50" s="14">
        <v>0</v>
      </c>
      <c r="L50" s="16">
        <v>0</v>
      </c>
      <c r="M50" s="14">
        <v>0</v>
      </c>
      <c r="N50" s="16">
        <v>0</v>
      </c>
      <c r="O50" s="14">
        <v>0</v>
      </c>
      <c r="P50" s="16">
        <v>0</v>
      </c>
      <c r="Q50" s="14">
        <v>0</v>
      </c>
      <c r="R50" s="16">
        <v>0</v>
      </c>
    </row>
    <row r="51" spans="1:18" x14ac:dyDescent="0.25">
      <c r="A51" s="11" t="s">
        <v>184</v>
      </c>
      <c r="B51" s="13">
        <v>3494</v>
      </c>
      <c r="C51" s="14">
        <f>(2967/B51*100)</f>
        <v>84.917000572409847</v>
      </c>
      <c r="D51" s="15">
        <v>527</v>
      </c>
      <c r="E51" s="14">
        <v>44.560140750000002</v>
      </c>
      <c r="F51" s="16">
        <v>2.31386899</v>
      </c>
      <c r="G51" s="14">
        <v>55.439859249999998</v>
      </c>
      <c r="H51" s="16">
        <v>2.31386899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27.55016376</v>
      </c>
      <c r="F52" s="16">
        <v>1.96703048</v>
      </c>
      <c r="G52" s="14">
        <v>72.449836239999996</v>
      </c>
      <c r="H52" s="16">
        <v>1.96703048</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35.448704790000001</v>
      </c>
      <c r="F53" s="16">
        <v>1.98020486</v>
      </c>
      <c r="G53" s="14">
        <v>64.551295210000006</v>
      </c>
      <c r="H53" s="16">
        <v>1.98020486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(2203/B56*100)</f>
        <v>82.355140186915889</v>
      </c>
      <c r="D56" s="15">
        <v>472</v>
      </c>
      <c r="E56" s="14">
        <v>27.329225300000001</v>
      </c>
      <c r="F56" s="16">
        <v>2.1500226699999998</v>
      </c>
      <c r="G56" s="14">
        <v>72.670774699999996</v>
      </c>
      <c r="H56" s="16">
        <v>2.1500226699999998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22.461340750000002</v>
      </c>
      <c r="F61" s="16">
        <v>2.0023431199999999</v>
      </c>
      <c r="G61" s="14">
        <v>77.538659249999995</v>
      </c>
      <c r="H61" s="16">
        <v>2.0023431199999999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34.332168699999997</v>
      </c>
      <c r="F62" s="16">
        <v>2.37787674</v>
      </c>
      <c r="G62" s="14">
        <v>65.667831300000003</v>
      </c>
      <c r="H62" s="16">
        <v>2.37787674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(2281/B66*100)</f>
        <v>82.316853121616745</v>
      </c>
      <c r="D66" s="15">
        <v>490</v>
      </c>
      <c r="E66" s="14">
        <v>32.539106850000003</v>
      </c>
      <c r="F66" s="16">
        <v>2.0718310500000001</v>
      </c>
      <c r="G66" s="14">
        <v>67.460893150000004</v>
      </c>
      <c r="H66" s="16">
        <v>2.0718310500000001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(2901/B67*100)</f>
        <v>83.843930635838149</v>
      </c>
      <c r="D67" s="15">
        <v>559</v>
      </c>
      <c r="E67" s="14">
        <v>47.022675380000003</v>
      </c>
      <c r="F67" s="16">
        <v>2.0603684900000001</v>
      </c>
      <c r="G67" s="14">
        <v>52.977324619999997</v>
      </c>
      <c r="H67" s="16">
        <v>2.0603684900000001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28.172511180000001</v>
      </c>
      <c r="F70" s="16">
        <v>1.92857334</v>
      </c>
      <c r="G70" s="14">
        <v>71.827488819999999</v>
      </c>
      <c r="H70" s="16">
        <v>1.92857334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(3155/B72*100)</f>
        <v>82.613249541764858</v>
      </c>
      <c r="D72" s="15">
        <v>664</v>
      </c>
      <c r="E72" s="14">
        <v>28.205545570000002</v>
      </c>
      <c r="F72" s="16">
        <v>1.9503282799999999</v>
      </c>
      <c r="G72" s="14">
        <v>71.794454430000002</v>
      </c>
      <c r="H72" s="16">
        <v>1.9503282799999999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(3871/B73*100)</f>
        <v>83.211521926053308</v>
      </c>
      <c r="D73" s="15">
        <v>781</v>
      </c>
      <c r="E73" s="14">
        <v>42.598884009999999</v>
      </c>
      <c r="F73" s="16">
        <v>1.82227227</v>
      </c>
      <c r="G73" s="14">
        <v>57.401115990000001</v>
      </c>
      <c r="H73" s="16">
        <v>1.82227227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(2493/B75*100)</f>
        <v>83.967665880767939</v>
      </c>
      <c r="D75" s="15">
        <v>476</v>
      </c>
      <c r="E75" s="14">
        <v>49.824976509999999</v>
      </c>
      <c r="F75" s="16">
        <v>2.2139590199999999</v>
      </c>
      <c r="G75" s="14">
        <v>50.175023490000001</v>
      </c>
      <c r="H75" s="16">
        <v>2.2139590199999999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45.335774909999998</v>
      </c>
      <c r="F76" s="16">
        <v>1.88582597</v>
      </c>
      <c r="G76" s="14">
        <v>54.664225090000002</v>
      </c>
      <c r="H76" s="16">
        <v>1.88582597</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(2604/B77*100)</f>
        <v>82.561826252377941</v>
      </c>
      <c r="D77" s="15">
        <v>550</v>
      </c>
      <c r="E77" s="14">
        <v>33.440303210000003</v>
      </c>
      <c r="F77" s="16">
        <v>1.9025357300000001</v>
      </c>
      <c r="G77" s="14">
        <v>66.559696790000004</v>
      </c>
      <c r="H77" s="16">
        <v>1.9025357300000001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(3893/B81*100)</f>
        <v>82.865048957002983</v>
      </c>
      <c r="D81" s="15">
        <v>805</v>
      </c>
      <c r="E81" s="14">
        <v>45.760328739999999</v>
      </c>
      <c r="F81" s="16">
        <v>2.2176132100000001</v>
      </c>
      <c r="G81" s="14">
        <v>54.239671260000001</v>
      </c>
      <c r="H81" s="16">
        <v>2.2176132100000001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(5917/B7*100)</f>
        <v>82.605053748429427</v>
      </c>
      <c r="D7" s="15">
        <v>1246</v>
      </c>
      <c r="E7" s="14">
        <v>42.440730010000003</v>
      </c>
      <c r="F7" s="16">
        <v>1.6270349500000001</v>
      </c>
      <c r="G7" s="14">
        <v>57.559269989999997</v>
      </c>
      <c r="H7" s="16">
        <v>1.6270349500000001</v>
      </c>
      <c r="I7" s="14" t="s">
        <v>139</v>
      </c>
      <c r="J7" s="16" t="s">
        <v>139</v>
      </c>
      <c r="K7" s="14">
        <v>0</v>
      </c>
      <c r="L7" s="16">
        <v>0</v>
      </c>
      <c r="M7" s="14">
        <v>0</v>
      </c>
      <c r="N7" s="16">
        <v>0</v>
      </c>
      <c r="O7" s="14">
        <v>0</v>
      </c>
      <c r="P7" s="16">
        <v>0</v>
      </c>
      <c r="Q7" s="14">
        <v>0</v>
      </c>
      <c r="R7" s="16">
        <v>0</v>
      </c>
    </row>
    <row r="8" spans="1:18" x14ac:dyDescent="0.25">
      <c r="A8" s="11" t="s">
        <v>140</v>
      </c>
      <c r="B8" s="13">
        <v>3443</v>
      </c>
      <c r="C8" s="14">
        <f>(2825/B8*100)</f>
        <v>82.050537322102812</v>
      </c>
      <c r="D8" s="15">
        <v>618</v>
      </c>
      <c r="E8" s="14">
        <v>55.355881859999997</v>
      </c>
      <c r="F8" s="16">
        <v>2.0337905200000002</v>
      </c>
      <c r="G8" s="14">
        <v>44.644118140000003</v>
      </c>
      <c r="H8" s="16">
        <v>2.0337905200000002</v>
      </c>
      <c r="I8" s="14" t="s">
        <v>139</v>
      </c>
      <c r="J8" s="16" t="s">
        <v>139</v>
      </c>
      <c r="K8" s="14">
        <v>0</v>
      </c>
      <c r="L8" s="16">
        <v>0</v>
      </c>
      <c r="M8" s="14">
        <v>0</v>
      </c>
      <c r="N8" s="16">
        <v>0</v>
      </c>
      <c r="O8" s="14">
        <v>0</v>
      </c>
      <c r="P8" s="16">
        <v>0</v>
      </c>
      <c r="Q8" s="14">
        <v>0</v>
      </c>
      <c r="R8" s="16">
        <v>0</v>
      </c>
    </row>
    <row r="9" spans="1:18" x14ac:dyDescent="0.25">
      <c r="A9" s="11" t="s">
        <v>141</v>
      </c>
      <c r="B9" s="13">
        <v>4752</v>
      </c>
      <c r="C9" s="14">
        <f>(3959/B9*100)</f>
        <v>83.312289562289564</v>
      </c>
      <c r="D9" s="15">
        <v>793</v>
      </c>
      <c r="E9" s="14">
        <v>63.058782350000001</v>
      </c>
      <c r="F9" s="16">
        <v>1.41003641</v>
      </c>
      <c r="G9" s="14">
        <v>36.941217649999999</v>
      </c>
      <c r="H9" s="16">
        <v>1.41003641</v>
      </c>
      <c r="I9" s="14" t="s">
        <v>139</v>
      </c>
      <c r="J9" s="16" t="s">
        <v>139</v>
      </c>
      <c r="K9" s="14">
        <v>0</v>
      </c>
      <c r="L9" s="16">
        <v>0</v>
      </c>
      <c r="M9" s="14">
        <v>0</v>
      </c>
      <c r="N9" s="16">
        <v>0</v>
      </c>
      <c r="O9" s="14">
        <v>0</v>
      </c>
      <c r="P9" s="16">
        <v>0</v>
      </c>
      <c r="Q9" s="14">
        <v>0</v>
      </c>
      <c r="R9" s="16">
        <v>0</v>
      </c>
    </row>
    <row r="10" spans="1:18" x14ac:dyDescent="0.25">
      <c r="A10" s="11" t="s">
        <v>142</v>
      </c>
      <c r="B10" s="13">
        <v>10022</v>
      </c>
      <c r="C10" s="14">
        <f>(8297/B10*100)</f>
        <v>82.787866693274793</v>
      </c>
      <c r="D10" s="15">
        <v>1725</v>
      </c>
      <c r="E10" s="14">
        <v>43.600290020000003</v>
      </c>
      <c r="F10" s="16">
        <v>1.7532546099999999</v>
      </c>
      <c r="G10" s="14">
        <v>56.399709979999997</v>
      </c>
      <c r="H10" s="16">
        <v>1.7532546099999999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(2882/B11*100)</f>
        <v>82.342857142857142</v>
      </c>
      <c r="D11" s="15">
        <v>618</v>
      </c>
      <c r="E11" s="14">
        <v>64.645108149999999</v>
      </c>
      <c r="F11" s="16">
        <v>2.2448427999999998</v>
      </c>
      <c r="G11" s="14">
        <v>35.354891850000001</v>
      </c>
      <c r="H11" s="16">
        <v>2.2448427999999998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(2861/B12*100)</f>
        <v>83.606078316773818</v>
      </c>
      <c r="D12" s="15">
        <v>561</v>
      </c>
      <c r="E12" s="14">
        <v>76.870683420000006</v>
      </c>
      <c r="F12" s="16">
        <v>1.85173969</v>
      </c>
      <c r="G12" s="14">
        <v>23.129316580000001</v>
      </c>
      <c r="H12" s="16">
        <v>1.85173969</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61.549771980000003</v>
      </c>
      <c r="F13" s="16">
        <v>2.14448463</v>
      </c>
      <c r="G13" s="14">
        <v>38.450228019999997</v>
      </c>
      <c r="H13" s="16">
        <v>2.14448463</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46.409582039999997</v>
      </c>
      <c r="F14" s="16">
        <v>2.4789347799999999</v>
      </c>
      <c r="G14" s="14">
        <v>53.590417960000003</v>
      </c>
      <c r="H14" s="16">
        <v>2.4789347799999999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55.782250159999997</v>
      </c>
      <c r="F15" s="16">
        <v>2.43767852</v>
      </c>
      <c r="G15" s="14">
        <v>44.217749840000003</v>
      </c>
      <c r="H15" s="16">
        <v>2.43767852</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(2567/B16*100)</f>
        <v>82.513661202185801</v>
      </c>
      <c r="D16" s="15">
        <v>544</v>
      </c>
      <c r="E16" s="14">
        <v>66.217974709999993</v>
      </c>
      <c r="F16" s="16">
        <v>1.9430255299999999</v>
      </c>
      <c r="G16" s="14">
        <v>33.78202529</v>
      </c>
      <c r="H16" s="16">
        <v>1.9430255299999999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49.632387700000002</v>
      </c>
      <c r="F17" s="16">
        <v>1.8878392900000001</v>
      </c>
      <c r="G17" s="14">
        <v>50.367612299999998</v>
      </c>
      <c r="H17" s="16">
        <v>1.8878392900000001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72.677300779999996</v>
      </c>
      <c r="F18" s="16">
        <v>2.3947377200000002</v>
      </c>
      <c r="G18" s="14">
        <v>27.322699220000001</v>
      </c>
      <c r="H18" s="16">
        <v>2.3947377200000002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67.921372640000001</v>
      </c>
      <c r="F19" s="16">
        <v>2.4300978899999999</v>
      </c>
      <c r="G19" s="14">
        <v>32.078627359999999</v>
      </c>
      <c r="H19" s="16">
        <v>2.4300978899999999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51.080554409999998</v>
      </c>
      <c r="F20" s="16">
        <v>3.3078079900000001</v>
      </c>
      <c r="G20" s="14">
        <v>48.919445590000002</v>
      </c>
      <c r="H20" s="16">
        <v>3.3078079900000001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66.595334910000005</v>
      </c>
      <c r="F22" s="16">
        <v>2.2560994399999998</v>
      </c>
      <c r="G22" s="14">
        <v>33.404665090000002</v>
      </c>
      <c r="H22" s="16">
        <v>2.2560994399999998</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80.260679460000006</v>
      </c>
      <c r="F23" s="16">
        <v>1.4096803600000001</v>
      </c>
      <c r="G23" s="14">
        <v>19.739320540000001</v>
      </c>
      <c r="H23" s="16">
        <v>1.4096803600000001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41.138104689999999</v>
      </c>
      <c r="F24" s="16">
        <v>2.3684517600000001</v>
      </c>
      <c r="G24" s="14">
        <v>58.861895310000001</v>
      </c>
      <c r="H24" s="16">
        <v>2.3684517600000001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10.918343549999999</v>
      </c>
      <c r="F25" s="16">
        <v>1.41913493</v>
      </c>
      <c r="G25" s="14">
        <v>89.081656449999997</v>
      </c>
      <c r="H25" s="16">
        <v>1.41913493</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65.835575300000002</v>
      </c>
      <c r="F26" s="16">
        <v>2.3256744899999999</v>
      </c>
      <c r="G26" s="14">
        <v>34.164424699999998</v>
      </c>
      <c r="H26" s="16">
        <v>2.3256744899999999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59.414392739999997</v>
      </c>
      <c r="F27" s="16">
        <v>2.6030508800000001</v>
      </c>
      <c r="G27" s="14">
        <v>40.585607260000003</v>
      </c>
      <c r="H27" s="16">
        <v>2.6030508800000001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(3157/B28*100)</f>
        <v>83.013410465422027</v>
      </c>
      <c r="D28" s="15">
        <v>646</v>
      </c>
      <c r="E28" s="14">
        <v>66.614302780000003</v>
      </c>
      <c r="F28" s="16">
        <v>2.0144560299999998</v>
      </c>
      <c r="G28" s="14">
        <v>33.385697219999997</v>
      </c>
      <c r="H28" s="16">
        <v>2.0144560299999998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57.29403654</v>
      </c>
      <c r="F29" s="16">
        <v>2.6310111699999998</v>
      </c>
      <c r="G29" s="14">
        <v>42.70596346</v>
      </c>
      <c r="H29" s="16">
        <v>2.6310111699999998</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41.79649045</v>
      </c>
      <c r="F30" s="16">
        <v>2.51674277</v>
      </c>
      <c r="G30" s="14">
        <v>58.20350955</v>
      </c>
      <c r="H30" s="16">
        <v>2.51674277</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64.361218019999995</v>
      </c>
      <c r="F31" s="16">
        <v>2.3606942800000001</v>
      </c>
      <c r="G31" s="14">
        <v>35.638781979999997</v>
      </c>
      <c r="H31" s="16">
        <v>2.3606942800000001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(3029/B33*100)</f>
        <v>82.963571624212534</v>
      </c>
      <c r="D33" s="15">
        <v>622</v>
      </c>
      <c r="E33" s="14">
        <v>59.978727470000003</v>
      </c>
      <c r="F33" s="16">
        <v>2.26711997</v>
      </c>
      <c r="G33" s="14">
        <v>40.021272529999997</v>
      </c>
      <c r="H33" s="16">
        <v>2.26711997</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63.97520523</v>
      </c>
      <c r="F34" s="16">
        <v>2.1921494699999999</v>
      </c>
      <c r="G34" s="14">
        <v>36.02479477</v>
      </c>
      <c r="H34" s="16">
        <v>2.1921494699999999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69.353152600000001</v>
      </c>
      <c r="F35" s="16">
        <v>2.2804429399999999</v>
      </c>
      <c r="G35" s="14">
        <v>30.646847399999999</v>
      </c>
      <c r="H35" s="16">
        <v>2.2804429399999999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64.995034520000004</v>
      </c>
      <c r="F36" s="16">
        <v>2.05904716</v>
      </c>
      <c r="G36" s="14">
        <v>35.004965480000003</v>
      </c>
      <c r="H36" s="16">
        <v>2.05904716</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66.163875200000007</v>
      </c>
      <c r="F37" s="16">
        <v>2.2480155000000002</v>
      </c>
      <c r="G37" s="14">
        <v>33.8361248</v>
      </c>
      <c r="H37" s="16">
        <v>2.2480155000000002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60.164984130000001</v>
      </c>
      <c r="F39" s="16">
        <v>1.9778531699999999</v>
      </c>
      <c r="G39" s="14">
        <v>39.835015869999999</v>
      </c>
      <c r="H39" s="16">
        <v>1.9778531699999999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(5728/B40*100)</f>
        <v>82.750650101126837</v>
      </c>
      <c r="D40" s="15">
        <v>1194</v>
      </c>
      <c r="E40" s="14">
        <v>43.559313860000003</v>
      </c>
      <c r="F40" s="16">
        <v>2.37066548</v>
      </c>
      <c r="G40" s="14">
        <v>56.440686139999997</v>
      </c>
      <c r="H40" s="16">
        <v>2.37066548</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49.49964001</v>
      </c>
      <c r="F41" s="16">
        <v>2.2255811699999999</v>
      </c>
      <c r="G41" s="14">
        <v>50.50035999</v>
      </c>
      <c r="H41" s="16">
        <v>2.2255811699999999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82.867755477318539</v>
      </c>
      <c r="D42" s="15">
        <f>IF(COUNT(D7:D41) &gt; 0, AVERAGE(D7:D41), "—")</f>
        <v>618.96875</v>
      </c>
      <c r="E42" s="14">
        <f>IF(COUNT(E7:E41) &gt; 0, AVERAGE(E7:E41), "—")</f>
        <v>57.786283802812498</v>
      </c>
      <c r="F42" s="16">
        <f>IF(COUNT(F7:F41) &gt; 0, SQRT(SUMSQ(F7:F41)/(COUNT(F7:F41)*COUNT(F7:F41)) ), "—")</f>
        <v>0.38983392928245175</v>
      </c>
      <c r="G42" s="14">
        <f>IF(COUNT(G7:G41) &gt; 0, AVERAGE(G7:G41), "—")</f>
        <v>42.213716197187516</v>
      </c>
      <c r="H42" s="16">
        <f>IF(COUNT(H7:H41) &gt; 0, SQRT(SUMSQ(H7:H41)/(COUNT(H7:H41)*COUNT(H7:H41)) ), "—")</f>
        <v>0.38983392928245175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(10200/B46*100)</f>
        <v>84.486043236975078</v>
      </c>
      <c r="D46" s="15">
        <v>1873</v>
      </c>
      <c r="E46" s="14">
        <v>72.036492640000006</v>
      </c>
      <c r="F46" s="16">
        <v>1.1865085799999999</v>
      </c>
      <c r="G46" s="14">
        <v>27.963507360000001</v>
      </c>
      <c r="H46" s="16">
        <v>1.1865085799999999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(2328/B47*100)</f>
        <v>82.465462274176403</v>
      </c>
      <c r="D47" s="15">
        <v>495</v>
      </c>
      <c r="E47" s="14">
        <v>67.086494930000001</v>
      </c>
      <c r="F47" s="16">
        <v>1.92374665</v>
      </c>
      <c r="G47" s="14">
        <v>32.913505069999999</v>
      </c>
      <c r="H47" s="16">
        <v>1.92374665</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28.021521719999999</v>
      </c>
      <c r="F48" s="16">
        <v>2.2063673700000002</v>
      </c>
      <c r="G48" s="14">
        <v>71.978478280000004</v>
      </c>
      <c r="H48" s="16">
        <v>2.2063673700000002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(5110/B50*100)</f>
        <v>82.981487495940243</v>
      </c>
      <c r="D50" s="15">
        <v>1048</v>
      </c>
      <c r="E50" s="14">
        <v>64.596610769999998</v>
      </c>
      <c r="F50" s="16">
        <v>1.7920659699999999</v>
      </c>
      <c r="G50" s="14">
        <v>35.403389230000002</v>
      </c>
      <c r="H50" s="16">
        <v>1.7920659699999999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(2973/B51*100)</f>
        <v>85.088723526044646</v>
      </c>
      <c r="D51" s="15">
        <v>521</v>
      </c>
      <c r="E51" s="14">
        <v>74.248918669999995</v>
      </c>
      <c r="F51" s="16">
        <v>2.2758090700000002</v>
      </c>
      <c r="G51" s="14">
        <v>25.751081330000002</v>
      </c>
      <c r="H51" s="16">
        <v>2.2758090700000002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72.067902489999994</v>
      </c>
      <c r="F52" s="16">
        <v>1.7944467500000001</v>
      </c>
      <c r="G52" s="14">
        <v>27.932097509999998</v>
      </c>
      <c r="H52" s="16">
        <v>1.7944467500000001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51.835613180000003</v>
      </c>
      <c r="F53" s="16">
        <v>2.38916496</v>
      </c>
      <c r="G53" s="14">
        <v>48.164386819999997</v>
      </c>
      <c r="H53" s="16">
        <v>2.38916496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23.979193739999999</v>
      </c>
      <c r="F56" s="16">
        <v>2.40056358</v>
      </c>
      <c r="G56" s="14">
        <v>76.020806260000001</v>
      </c>
      <c r="H56" s="16">
        <v>2.40056358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72.351256129999996</v>
      </c>
      <c r="F61" s="16">
        <v>2.3185406400000002</v>
      </c>
      <c r="G61" s="14">
        <v>27.648743870000001</v>
      </c>
      <c r="H61" s="16">
        <v>2.3185406400000002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29.940253949999999</v>
      </c>
      <c r="F62" s="16">
        <v>2.2392500900000001</v>
      </c>
      <c r="G62" s="14">
        <v>70.059746050000001</v>
      </c>
      <c r="H62" s="16">
        <v>2.2392500900000001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(2282/B66*100)</f>
        <v>82.35294117647058</v>
      </c>
      <c r="D66" s="15">
        <v>489</v>
      </c>
      <c r="E66" s="14">
        <v>71.012119049999995</v>
      </c>
      <c r="F66" s="16">
        <v>1.97490313</v>
      </c>
      <c r="G66" s="14">
        <v>28.987880950000001</v>
      </c>
      <c r="H66" s="16">
        <v>1.97490313</v>
      </c>
      <c r="I66" s="14" t="s">
        <v>139</v>
      </c>
      <c r="J66" s="16" t="s">
        <v>139</v>
      </c>
      <c r="K66" s="14">
        <v>0</v>
      </c>
      <c r="L66" s="16">
        <v>0</v>
      </c>
      <c r="M66" s="14">
        <v>0</v>
      </c>
      <c r="N66" s="16">
        <v>0</v>
      </c>
      <c r="O66" s="14">
        <v>0</v>
      </c>
      <c r="P66" s="16">
        <v>0</v>
      </c>
      <c r="Q66" s="14">
        <v>0</v>
      </c>
      <c r="R66" s="16">
        <v>0</v>
      </c>
    </row>
    <row r="67" spans="1:18" x14ac:dyDescent="0.25">
      <c r="A67" s="11" t="s">
        <v>200</v>
      </c>
      <c r="B67" s="13">
        <v>3460</v>
      </c>
      <c r="C67" s="14">
        <f>(2909/B67*100)</f>
        <v>84.075144508670519</v>
      </c>
      <c r="D67" s="15">
        <v>551</v>
      </c>
      <c r="E67" s="14">
        <v>68.730763690000003</v>
      </c>
      <c r="F67" s="16">
        <v>1.9626269700000001</v>
      </c>
      <c r="G67" s="14">
        <v>31.26923631</v>
      </c>
      <c r="H67" s="16">
        <v>1.9626269700000001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67.662616929999999</v>
      </c>
      <c r="F70" s="16">
        <v>2.11243135</v>
      </c>
      <c r="G70" s="14">
        <v>32.337383070000001</v>
      </c>
      <c r="H70" s="16">
        <v>2.11243135</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(3155/B72*100)</f>
        <v>82.613249541764858</v>
      </c>
      <c r="D72" s="15">
        <v>664</v>
      </c>
      <c r="E72" s="14">
        <v>30.023818590000001</v>
      </c>
      <c r="F72" s="16">
        <v>2.16588768</v>
      </c>
      <c r="G72" s="14">
        <v>69.976181409999995</v>
      </c>
      <c r="H72" s="16">
        <v>2.16588768</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(3874/B73*100)</f>
        <v>83.276010318142738</v>
      </c>
      <c r="D73" s="15">
        <v>778</v>
      </c>
      <c r="E73" s="14">
        <v>30.617780840000002</v>
      </c>
      <c r="F73" s="16">
        <v>1.8701309699999999</v>
      </c>
      <c r="G73" s="14">
        <v>69.382219160000005</v>
      </c>
      <c r="H73" s="16">
        <v>1.8701309699999999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(2494/B75*100)</f>
        <v>84.00134725496801</v>
      </c>
      <c r="D75" s="15">
        <v>475</v>
      </c>
      <c r="E75" s="14">
        <v>79.178119600000002</v>
      </c>
      <c r="F75" s="16">
        <v>1.91299613</v>
      </c>
      <c r="G75" s="14">
        <v>20.821880400000001</v>
      </c>
      <c r="H75" s="16">
        <v>1.91299613</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62.12060572</v>
      </c>
      <c r="F76" s="16">
        <v>1.8026108599999999</v>
      </c>
      <c r="G76" s="14">
        <v>37.87939428</v>
      </c>
      <c r="H76" s="16">
        <v>1.8026108599999999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(2606/B77*100)</f>
        <v>82.625237793278373</v>
      </c>
      <c r="D77" s="15">
        <v>548</v>
      </c>
      <c r="E77" s="14">
        <v>64.776728809999994</v>
      </c>
      <c r="F77" s="16">
        <v>2.4829046699999999</v>
      </c>
      <c r="G77" s="14">
        <v>35.223271189999998</v>
      </c>
      <c r="H77" s="16">
        <v>2.4829046699999999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(3892/B81*100)</f>
        <v>82.843763303533407</v>
      </c>
      <c r="D81" s="15">
        <v>806</v>
      </c>
      <c r="E81" s="14">
        <v>47.724078429999999</v>
      </c>
      <c r="F81" s="16">
        <v>2.2333306400000001</v>
      </c>
      <c r="G81" s="14">
        <v>52.275921570000001</v>
      </c>
      <c r="H81" s="16">
        <v>2.2333306400000001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(5917/B7*100)</f>
        <v>82.605053748429427</v>
      </c>
      <c r="D7" s="15">
        <v>1246</v>
      </c>
      <c r="E7" s="14">
        <v>11.97307142</v>
      </c>
      <c r="F7" s="16">
        <v>1.09714595</v>
      </c>
      <c r="G7" s="14">
        <v>88.026928580000003</v>
      </c>
      <c r="H7" s="16">
        <v>1.09714595</v>
      </c>
      <c r="I7" s="14" t="s">
        <v>139</v>
      </c>
      <c r="J7" s="16" t="s">
        <v>139</v>
      </c>
      <c r="K7" s="14">
        <v>0</v>
      </c>
      <c r="L7" s="16">
        <v>0</v>
      </c>
      <c r="M7" s="14">
        <v>0</v>
      </c>
      <c r="N7" s="16">
        <v>0</v>
      </c>
      <c r="O7" s="14">
        <v>0</v>
      </c>
      <c r="P7" s="16">
        <v>0</v>
      </c>
      <c r="Q7" s="14">
        <v>0</v>
      </c>
      <c r="R7" s="16">
        <v>0</v>
      </c>
    </row>
    <row r="8" spans="1:18" x14ac:dyDescent="0.25">
      <c r="A8" s="11" t="s">
        <v>140</v>
      </c>
      <c r="B8" s="13">
        <v>3443</v>
      </c>
      <c r="C8" s="14">
        <f>(2825/B8*100)</f>
        <v>82.050537322102812</v>
      </c>
      <c r="D8" s="15">
        <v>618</v>
      </c>
      <c r="E8" s="14">
        <v>12.698947540000001</v>
      </c>
      <c r="F8" s="16">
        <v>1.2257068200000001</v>
      </c>
      <c r="G8" s="14">
        <v>87.301052459999994</v>
      </c>
      <c r="H8" s="16">
        <v>1.2257068200000001</v>
      </c>
      <c r="I8" s="14" t="s">
        <v>139</v>
      </c>
      <c r="J8" s="16" t="s">
        <v>139</v>
      </c>
      <c r="K8" s="14">
        <v>0</v>
      </c>
      <c r="L8" s="16">
        <v>0</v>
      </c>
      <c r="M8" s="14">
        <v>0</v>
      </c>
      <c r="N8" s="16">
        <v>0</v>
      </c>
      <c r="O8" s="14">
        <v>0</v>
      </c>
      <c r="P8" s="16">
        <v>0</v>
      </c>
      <c r="Q8" s="14">
        <v>0</v>
      </c>
      <c r="R8" s="16">
        <v>0</v>
      </c>
    </row>
    <row r="9" spans="1:18" x14ac:dyDescent="0.25">
      <c r="A9" s="11" t="s">
        <v>141</v>
      </c>
      <c r="B9" s="13">
        <v>4752</v>
      </c>
      <c r="C9" s="14">
        <f>(3959/B9*100)</f>
        <v>83.312289562289564</v>
      </c>
      <c r="D9" s="15">
        <v>793</v>
      </c>
      <c r="E9" s="14">
        <v>15.199532919999999</v>
      </c>
      <c r="F9" s="16">
        <v>1.2097773300000001</v>
      </c>
      <c r="G9" s="14">
        <v>84.800467080000004</v>
      </c>
      <c r="H9" s="16">
        <v>1.2097773300000001</v>
      </c>
      <c r="I9" s="14" t="s">
        <v>139</v>
      </c>
      <c r="J9" s="16" t="s">
        <v>139</v>
      </c>
      <c r="K9" s="14">
        <v>0</v>
      </c>
      <c r="L9" s="16">
        <v>0</v>
      </c>
      <c r="M9" s="14">
        <v>0</v>
      </c>
      <c r="N9" s="16">
        <v>0</v>
      </c>
      <c r="O9" s="14">
        <v>0</v>
      </c>
      <c r="P9" s="16">
        <v>0</v>
      </c>
      <c r="Q9" s="14">
        <v>0</v>
      </c>
      <c r="R9" s="16">
        <v>0</v>
      </c>
    </row>
    <row r="10" spans="1:18" x14ac:dyDescent="0.25">
      <c r="A10" s="11" t="s">
        <v>142</v>
      </c>
      <c r="B10" s="13">
        <v>10022</v>
      </c>
      <c r="C10" s="14">
        <f>(8297/B10*100)</f>
        <v>82.787866693274793</v>
      </c>
      <c r="D10" s="15">
        <v>1725</v>
      </c>
      <c r="E10" s="14">
        <v>10.116384030000001</v>
      </c>
      <c r="F10" s="16">
        <v>1.22264299</v>
      </c>
      <c r="G10" s="14">
        <v>89.883615969999994</v>
      </c>
      <c r="H10" s="16">
        <v>1.22264299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(2882/B11*100)</f>
        <v>82.342857142857142</v>
      </c>
      <c r="D11" s="15">
        <v>618</v>
      </c>
      <c r="E11" s="14">
        <v>26.763615170000001</v>
      </c>
      <c r="F11" s="16">
        <v>1.9926516999999999</v>
      </c>
      <c r="G11" s="14">
        <v>73.236384830000006</v>
      </c>
      <c r="H11" s="16">
        <v>1.9926516999999999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(2861/B12*100)</f>
        <v>83.606078316773818</v>
      </c>
      <c r="D12" s="15">
        <v>561</v>
      </c>
      <c r="E12" s="14">
        <v>12.240470930000001</v>
      </c>
      <c r="F12" s="16">
        <v>1.4466771300000001</v>
      </c>
      <c r="G12" s="14">
        <v>87.759529069999999</v>
      </c>
      <c r="H12" s="16">
        <v>1.4466771300000001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9.4005561100000001</v>
      </c>
      <c r="F13" s="16">
        <v>1.3501912899999999</v>
      </c>
      <c r="G13" s="14">
        <v>90.599443890000003</v>
      </c>
      <c r="H13" s="16">
        <v>1.3501912899999999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10.39821697</v>
      </c>
      <c r="F14" s="16">
        <v>1.7908428700000001</v>
      </c>
      <c r="G14" s="14">
        <v>89.601783030000007</v>
      </c>
      <c r="H14" s="16">
        <v>1.7908428700000001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12.13578622</v>
      </c>
      <c r="F15" s="16">
        <v>1.3107711099999999</v>
      </c>
      <c r="G15" s="14">
        <v>87.86421378</v>
      </c>
      <c r="H15" s="16">
        <v>1.3107711099999999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(2567/B16*100)</f>
        <v>82.513661202185801</v>
      </c>
      <c r="D16" s="15">
        <v>544</v>
      </c>
      <c r="E16" s="14">
        <v>18.908924689999999</v>
      </c>
      <c r="F16" s="16">
        <v>1.89428603</v>
      </c>
      <c r="G16" s="14">
        <v>81.091075309999994</v>
      </c>
      <c r="H16" s="16">
        <v>1.89428603</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12.060714819999999</v>
      </c>
      <c r="F17" s="16">
        <v>1.2752146900000001</v>
      </c>
      <c r="G17" s="14">
        <v>87.939285179999999</v>
      </c>
      <c r="H17" s="16">
        <v>1.2752146900000001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19.61216829</v>
      </c>
      <c r="F18" s="16">
        <v>2.2175662300000001</v>
      </c>
      <c r="G18" s="14">
        <v>80.38783171</v>
      </c>
      <c r="H18" s="16">
        <v>2.2175662300000001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25.035311329999999</v>
      </c>
      <c r="F19" s="16">
        <v>1.99772112</v>
      </c>
      <c r="G19" s="14">
        <v>74.964688670000001</v>
      </c>
      <c r="H19" s="16">
        <v>1.99772112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14.491530770000001</v>
      </c>
      <c r="F20" s="16">
        <v>2.3418720999999998</v>
      </c>
      <c r="G20" s="14">
        <v>85.508469230000003</v>
      </c>
      <c r="H20" s="16">
        <v>2.3418720999999998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17.561518100000001</v>
      </c>
      <c r="F22" s="16">
        <v>1.79713484</v>
      </c>
      <c r="G22" s="14">
        <v>82.438481899999999</v>
      </c>
      <c r="H22" s="16">
        <v>1.79713484</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26.005473049999999</v>
      </c>
      <c r="F23" s="16">
        <v>1.9518334399999999</v>
      </c>
      <c r="G23" s="14">
        <v>73.994526949999994</v>
      </c>
      <c r="H23" s="16">
        <v>1.9518334399999999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24.609341300000001</v>
      </c>
      <c r="F24" s="16">
        <v>1.84343488</v>
      </c>
      <c r="G24" s="14">
        <v>75.390658700000003</v>
      </c>
      <c r="H24" s="16">
        <v>1.84343488</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12.19828115</v>
      </c>
      <c r="F25" s="16">
        <v>1.52335262</v>
      </c>
      <c r="G25" s="14">
        <v>87.80171885</v>
      </c>
      <c r="H25" s="16">
        <v>1.52335262</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20.477545750000001</v>
      </c>
      <c r="F26" s="16">
        <v>1.9595020000000001</v>
      </c>
      <c r="G26" s="14">
        <v>79.522454249999996</v>
      </c>
      <c r="H26" s="16">
        <v>1.9595020000000001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17.951561819999998</v>
      </c>
      <c r="F27" s="16">
        <v>1.76505654</v>
      </c>
      <c r="G27" s="14">
        <v>82.048438180000005</v>
      </c>
      <c r="H27" s="16">
        <v>1.76505654</v>
      </c>
      <c r="I27" s="14" t="s">
        <v>139</v>
      </c>
      <c r="J27" s="16" t="s">
        <v>139</v>
      </c>
      <c r="K27" s="14">
        <v>0</v>
      </c>
      <c r="L27" s="16">
        <v>0</v>
      </c>
      <c r="M27" s="14">
        <v>0</v>
      </c>
      <c r="N27" s="16">
        <v>0</v>
      </c>
      <c r="O27" s="14">
        <v>0</v>
      </c>
      <c r="P27" s="16">
        <v>0</v>
      </c>
      <c r="Q27" s="14">
        <v>0</v>
      </c>
      <c r="R27" s="16">
        <v>0</v>
      </c>
    </row>
    <row r="28" spans="1:18" x14ac:dyDescent="0.25">
      <c r="A28" s="11" t="s">
        <v>161</v>
      </c>
      <c r="B28" s="13">
        <v>3803</v>
      </c>
      <c r="C28" s="14">
        <f>(3157/B28*100)</f>
        <v>83.013410465422027</v>
      </c>
      <c r="D28" s="15">
        <v>646</v>
      </c>
      <c r="E28" s="14">
        <v>35.206813019999998</v>
      </c>
      <c r="F28" s="16">
        <v>2.0151078899999999</v>
      </c>
      <c r="G28" s="14">
        <v>64.793186980000002</v>
      </c>
      <c r="H28" s="16">
        <v>2.0151078899999999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17.36115186</v>
      </c>
      <c r="F29" s="16">
        <v>1.9963582600000001</v>
      </c>
      <c r="G29" s="14">
        <v>82.638848139999993</v>
      </c>
      <c r="H29" s="16">
        <v>1.9963582600000001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11.210742829999999</v>
      </c>
      <c r="F30" s="16">
        <v>1.5622639599999999</v>
      </c>
      <c r="G30" s="14">
        <v>88.789257169999999</v>
      </c>
      <c r="H30" s="16">
        <v>1.5622639599999999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10.4959075</v>
      </c>
      <c r="F31" s="16">
        <v>1.56160532</v>
      </c>
      <c r="G31" s="14">
        <v>89.504092499999999</v>
      </c>
      <c r="H31" s="16">
        <v>1.56160532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(3029/B33*100)</f>
        <v>82.963571624212534</v>
      </c>
      <c r="D33" s="15">
        <v>622</v>
      </c>
      <c r="E33" s="14">
        <v>15.42918732</v>
      </c>
      <c r="F33" s="16">
        <v>1.8466504500000001</v>
      </c>
      <c r="G33" s="14">
        <v>84.570812680000003</v>
      </c>
      <c r="H33" s="16">
        <v>1.8466504500000001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20.87089662</v>
      </c>
      <c r="F34" s="16">
        <v>1.9044145100000001</v>
      </c>
      <c r="G34" s="14">
        <v>79.129103380000004</v>
      </c>
      <c r="H34" s="16">
        <v>1.9044145100000001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14.61876058</v>
      </c>
      <c r="F35" s="16">
        <v>1.9011149000000001</v>
      </c>
      <c r="G35" s="14">
        <v>85.38123942</v>
      </c>
      <c r="H35" s="16">
        <v>1.9011149000000001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22.689898809999999</v>
      </c>
      <c r="F36" s="16">
        <v>1.89593772</v>
      </c>
      <c r="G36" s="14">
        <v>77.310101189999997</v>
      </c>
      <c r="H36" s="16">
        <v>1.89593772</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9.2258341900000005</v>
      </c>
      <c r="F37" s="16">
        <v>1.354311</v>
      </c>
      <c r="G37" s="14">
        <v>90.77416581</v>
      </c>
      <c r="H37" s="16">
        <v>1.354311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40.702249510000001</v>
      </c>
      <c r="F39" s="16">
        <v>2.0181384699999998</v>
      </c>
      <c r="G39" s="14">
        <v>59.297750489999999</v>
      </c>
      <c r="H39" s="16">
        <v>2.0181384699999998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(5728/B40*100)</f>
        <v>82.750650101126837</v>
      </c>
      <c r="D40" s="15">
        <v>1194</v>
      </c>
      <c r="E40" s="14">
        <v>14.61360301</v>
      </c>
      <c r="F40" s="16">
        <v>1.6830325799999999</v>
      </c>
      <c r="G40" s="14">
        <v>85.386396989999994</v>
      </c>
      <c r="H40" s="16">
        <v>1.6830325799999999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12.972590569999999</v>
      </c>
      <c r="F41" s="16">
        <v>1.46294507</v>
      </c>
      <c r="G41" s="14">
        <v>87.027409430000006</v>
      </c>
      <c r="H41" s="16">
        <v>1.46294507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82.867755477318539</v>
      </c>
      <c r="D42" s="15">
        <f>IF(COUNT(D7:D41) &gt; 0, AVERAGE(D7:D41), "—")</f>
        <v>618.96875</v>
      </c>
      <c r="E42" s="14">
        <f>IF(COUNT(E7:E41) &gt; 0, AVERAGE(E7:E41), "—")</f>
        <v>17.351143381249997</v>
      </c>
      <c r="F42" s="16">
        <f>IF(COUNT(F7:F41) &gt; 0, SQRT(SUMSQ(F7:F41)/(COUNT(F7:F41)*COUNT(F7:F41)) ), "—")</f>
        <v>0.30594353453621476</v>
      </c>
      <c r="G42" s="14">
        <f>IF(COUNT(G7:G41) &gt; 0, AVERAGE(G7:G41), "—")</f>
        <v>82.64885661874996</v>
      </c>
      <c r="H42" s="16">
        <f>IF(COUNT(H7:H41) &gt; 0, SQRT(SUMSQ(H7:H41)/(COUNT(H7:H41)*COUNT(H7:H41)) ), "—")</f>
        <v>0.30594353453621476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(10200/B46*100)</f>
        <v>84.486043236975078</v>
      </c>
      <c r="D46" s="15">
        <v>1873</v>
      </c>
      <c r="E46" s="14">
        <v>36.886289820000002</v>
      </c>
      <c r="F46" s="16">
        <v>1.43835698</v>
      </c>
      <c r="G46" s="14">
        <v>63.113710179999998</v>
      </c>
      <c r="H46" s="16">
        <v>1.43835698</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(2328/B47*100)</f>
        <v>82.465462274176403</v>
      </c>
      <c r="D47" s="15">
        <v>495</v>
      </c>
      <c r="E47" s="14">
        <v>21.549914919999999</v>
      </c>
      <c r="F47" s="16">
        <v>2.0219429799999999</v>
      </c>
      <c r="G47" s="14">
        <v>78.450085079999994</v>
      </c>
      <c r="H47" s="16">
        <v>2.0219429799999999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21.493769350000001</v>
      </c>
      <c r="F48" s="16">
        <v>2.25169372</v>
      </c>
      <c r="G48" s="14">
        <v>78.506230650000006</v>
      </c>
      <c r="H48" s="16">
        <v>2.25169372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(5110/B50*100)</f>
        <v>82.981487495940243</v>
      </c>
      <c r="D50" s="15">
        <v>1048</v>
      </c>
      <c r="E50" s="14">
        <v>30.802273029999998</v>
      </c>
      <c r="F50" s="16">
        <v>1.8384304300000001</v>
      </c>
      <c r="G50" s="14">
        <v>69.197726970000005</v>
      </c>
      <c r="H50" s="16">
        <v>1.8384304300000001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(2973/B51*100)</f>
        <v>85.088723526044646</v>
      </c>
      <c r="D51" s="15">
        <v>521</v>
      </c>
      <c r="E51" s="14">
        <v>32.788117759999999</v>
      </c>
      <c r="F51" s="16">
        <v>1.79206417</v>
      </c>
      <c r="G51" s="14">
        <v>67.211882239999994</v>
      </c>
      <c r="H51" s="16">
        <v>1.79206417</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18.576011950000002</v>
      </c>
      <c r="F52" s="16">
        <v>1.5796144299999999</v>
      </c>
      <c r="G52" s="14">
        <v>81.423988050000006</v>
      </c>
      <c r="H52" s="16">
        <v>1.5796144299999999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21.25685189</v>
      </c>
      <c r="F53" s="16">
        <v>2.2537656500000001</v>
      </c>
      <c r="G53" s="14">
        <v>78.743148110000007</v>
      </c>
      <c r="H53" s="16">
        <v>2.2537656500000001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19.761375510000001</v>
      </c>
      <c r="F56" s="16">
        <v>1.74033992</v>
      </c>
      <c r="G56" s="14">
        <v>80.238624490000007</v>
      </c>
      <c r="H56" s="16">
        <v>1.74033992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15.545963349999999</v>
      </c>
      <c r="F61" s="16">
        <v>1.4878541599999999</v>
      </c>
      <c r="G61" s="14">
        <v>84.454036650000006</v>
      </c>
      <c r="H61" s="16">
        <v>1.4878541599999999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13.12826677</v>
      </c>
      <c r="F62" s="16">
        <v>1.8041189500000001</v>
      </c>
      <c r="G62" s="14">
        <v>86.871733230000004</v>
      </c>
      <c r="H62" s="16">
        <v>1.8041189500000001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(2282/B66*100)</f>
        <v>82.35294117647058</v>
      </c>
      <c r="D66" s="15">
        <v>489</v>
      </c>
      <c r="E66" s="14">
        <v>20.231978420000001</v>
      </c>
      <c r="F66" s="16">
        <v>1.86873029</v>
      </c>
      <c r="G66" s="14">
        <v>79.768021579999996</v>
      </c>
      <c r="H66" s="16">
        <v>1.86873029</v>
      </c>
      <c r="I66" s="14" t="s">
        <v>139</v>
      </c>
      <c r="J66" s="16" t="s">
        <v>139</v>
      </c>
      <c r="K66" s="14">
        <v>0</v>
      </c>
      <c r="L66" s="16">
        <v>0</v>
      </c>
      <c r="M66" s="14">
        <v>0</v>
      </c>
      <c r="N66" s="16">
        <v>0</v>
      </c>
      <c r="O66" s="14">
        <v>0</v>
      </c>
      <c r="P66" s="16">
        <v>0</v>
      </c>
      <c r="Q66" s="14">
        <v>0</v>
      </c>
      <c r="R66" s="16">
        <v>0</v>
      </c>
    </row>
    <row r="67" spans="1:18" x14ac:dyDescent="0.25">
      <c r="A67" s="11" t="s">
        <v>200</v>
      </c>
      <c r="B67" s="13">
        <v>3460</v>
      </c>
      <c r="C67" s="14">
        <f>(2909/B67*100)</f>
        <v>84.075144508670519</v>
      </c>
      <c r="D67" s="15">
        <v>551</v>
      </c>
      <c r="E67" s="14">
        <v>38.620229770000002</v>
      </c>
      <c r="F67" s="16">
        <v>2.0477362600000002</v>
      </c>
      <c r="G67" s="14">
        <v>61.379770229999998</v>
      </c>
      <c r="H67" s="16">
        <v>2.0477362600000002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10.732173899999999</v>
      </c>
      <c r="F70" s="16">
        <v>1.36324611</v>
      </c>
      <c r="G70" s="14">
        <v>89.267826099999994</v>
      </c>
      <c r="H70" s="16">
        <v>1.36324611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(3155/B72*100)</f>
        <v>82.613249541764858</v>
      </c>
      <c r="D72" s="15">
        <v>664</v>
      </c>
      <c r="E72" s="14">
        <v>10.49103944</v>
      </c>
      <c r="F72" s="16">
        <v>1.3504875999999999</v>
      </c>
      <c r="G72" s="14">
        <v>89.508960560000006</v>
      </c>
      <c r="H72" s="16">
        <v>1.3504875999999999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(3874/B73*100)</f>
        <v>83.276010318142738</v>
      </c>
      <c r="D73" s="15">
        <v>778</v>
      </c>
      <c r="E73" s="14">
        <v>39.081365980000001</v>
      </c>
      <c r="F73" s="16">
        <v>2.1759389100000002</v>
      </c>
      <c r="G73" s="14">
        <v>60.918634019999999</v>
      </c>
      <c r="H73" s="16">
        <v>2.1759389100000002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(2494/B75*100)</f>
        <v>84.00134725496801</v>
      </c>
      <c r="D75" s="15">
        <v>475</v>
      </c>
      <c r="E75" s="14">
        <v>37.32753383</v>
      </c>
      <c r="F75" s="16">
        <v>2.2747382599999999</v>
      </c>
      <c r="G75" s="14">
        <v>62.67246617</v>
      </c>
      <c r="H75" s="16">
        <v>2.2747382599999999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24.5944805</v>
      </c>
      <c r="F76" s="16">
        <v>1.39911063</v>
      </c>
      <c r="G76" s="14">
        <v>75.405519499999997</v>
      </c>
      <c r="H76" s="16">
        <v>1.39911063</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(2606/B77*100)</f>
        <v>82.625237793278373</v>
      </c>
      <c r="D77" s="15">
        <v>548</v>
      </c>
      <c r="E77" s="14">
        <v>28.112650609999999</v>
      </c>
      <c r="F77" s="16">
        <v>2.1262498600000002</v>
      </c>
      <c r="G77" s="14">
        <v>71.887349389999997</v>
      </c>
      <c r="H77" s="16">
        <v>2.1262498600000002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(3892/B81*100)</f>
        <v>82.843763303533407</v>
      </c>
      <c r="D81" s="15">
        <v>806</v>
      </c>
      <c r="E81" s="14">
        <v>32.353792849999998</v>
      </c>
      <c r="F81" s="16">
        <v>2.1395728900000002</v>
      </c>
      <c r="G81" s="14">
        <v>67.646207149999995</v>
      </c>
      <c r="H81" s="16">
        <v>2.1395728900000002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(5917/B7*100)</f>
        <v>82.605053748429427</v>
      </c>
      <c r="D7" s="15">
        <v>1246</v>
      </c>
      <c r="E7" s="14">
        <v>29.317452939999999</v>
      </c>
      <c r="F7" s="16">
        <v>1.8177440899999999</v>
      </c>
      <c r="G7" s="14">
        <v>70.682547060000005</v>
      </c>
      <c r="H7" s="16">
        <v>1.8177440899999999</v>
      </c>
      <c r="I7" s="14" t="s">
        <v>139</v>
      </c>
      <c r="J7" s="16" t="s">
        <v>139</v>
      </c>
      <c r="K7" s="14">
        <v>0</v>
      </c>
      <c r="L7" s="16">
        <v>0</v>
      </c>
      <c r="M7" s="14">
        <v>0</v>
      </c>
      <c r="N7" s="16">
        <v>0</v>
      </c>
      <c r="O7" s="14">
        <v>0</v>
      </c>
      <c r="P7" s="16">
        <v>0</v>
      </c>
      <c r="Q7" s="14">
        <v>0</v>
      </c>
      <c r="R7" s="16">
        <v>0</v>
      </c>
    </row>
    <row r="8" spans="1:18" x14ac:dyDescent="0.25">
      <c r="A8" s="11" t="s">
        <v>140</v>
      </c>
      <c r="B8" s="13">
        <v>3443</v>
      </c>
      <c r="C8" s="14">
        <f>(2825/B8*100)</f>
        <v>82.050537322102812</v>
      </c>
      <c r="D8" s="15">
        <v>618</v>
      </c>
      <c r="E8" s="14">
        <v>42.613874889999998</v>
      </c>
      <c r="F8" s="16">
        <v>2.50620837</v>
      </c>
      <c r="G8" s="14">
        <v>57.386125110000002</v>
      </c>
      <c r="H8" s="16">
        <v>2.50620837</v>
      </c>
      <c r="I8" s="14" t="s">
        <v>139</v>
      </c>
      <c r="J8" s="16" t="s">
        <v>139</v>
      </c>
      <c r="K8" s="14">
        <v>0</v>
      </c>
      <c r="L8" s="16">
        <v>0</v>
      </c>
      <c r="M8" s="14">
        <v>0</v>
      </c>
      <c r="N8" s="16">
        <v>0</v>
      </c>
      <c r="O8" s="14">
        <v>0</v>
      </c>
      <c r="P8" s="16">
        <v>0</v>
      </c>
      <c r="Q8" s="14">
        <v>0</v>
      </c>
      <c r="R8" s="16">
        <v>0</v>
      </c>
    </row>
    <row r="9" spans="1:18" x14ac:dyDescent="0.25">
      <c r="A9" s="11" t="s">
        <v>141</v>
      </c>
      <c r="B9" s="13">
        <v>4752</v>
      </c>
      <c r="C9" s="14">
        <f>(3959/B9*100)</f>
        <v>83.312289562289564</v>
      </c>
      <c r="D9" s="15">
        <v>793</v>
      </c>
      <c r="E9" s="14">
        <v>40.810436850000002</v>
      </c>
      <c r="F9" s="16">
        <v>1.87749762</v>
      </c>
      <c r="G9" s="14">
        <v>59.189563149999998</v>
      </c>
      <c r="H9" s="16">
        <v>1.87749762</v>
      </c>
      <c r="I9" s="14" t="s">
        <v>139</v>
      </c>
      <c r="J9" s="16" t="s">
        <v>139</v>
      </c>
      <c r="K9" s="14">
        <v>0</v>
      </c>
      <c r="L9" s="16">
        <v>0</v>
      </c>
      <c r="M9" s="14">
        <v>0</v>
      </c>
      <c r="N9" s="16">
        <v>0</v>
      </c>
      <c r="O9" s="14">
        <v>0</v>
      </c>
      <c r="P9" s="16">
        <v>0</v>
      </c>
      <c r="Q9" s="14">
        <v>0</v>
      </c>
      <c r="R9" s="16">
        <v>0</v>
      </c>
    </row>
    <row r="10" spans="1:18" x14ac:dyDescent="0.25">
      <c r="A10" s="11" t="s">
        <v>142</v>
      </c>
      <c r="B10" s="13">
        <v>10022</v>
      </c>
      <c r="C10" s="14">
        <f>(8297/B10*100)</f>
        <v>82.787866693274793</v>
      </c>
      <c r="D10" s="15">
        <v>1725</v>
      </c>
      <c r="E10" s="14">
        <v>29.275747460000002</v>
      </c>
      <c r="F10" s="16">
        <v>1.4691551</v>
      </c>
      <c r="G10" s="14">
        <v>70.724252539999995</v>
      </c>
      <c r="H10" s="16">
        <v>1.4691551</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(2882/B11*100)</f>
        <v>82.342857142857142</v>
      </c>
      <c r="D11" s="15">
        <v>618</v>
      </c>
      <c r="E11" s="14">
        <v>49.886862839999999</v>
      </c>
      <c r="F11" s="16">
        <v>2.12923492</v>
      </c>
      <c r="G11" s="14">
        <v>50.113137160000001</v>
      </c>
      <c r="H11" s="16">
        <v>2.12923492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(2861/B12*100)</f>
        <v>83.606078316773818</v>
      </c>
      <c r="D12" s="15">
        <v>561</v>
      </c>
      <c r="E12" s="14">
        <v>36.265663480000001</v>
      </c>
      <c r="F12" s="16">
        <v>1.9984689200000001</v>
      </c>
      <c r="G12" s="14">
        <v>63.734336519999999</v>
      </c>
      <c r="H12" s="16">
        <v>1.9984689200000001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27.463035999999999</v>
      </c>
      <c r="F13" s="16">
        <v>2.2087459300000001</v>
      </c>
      <c r="G13" s="14">
        <v>72.536963999999998</v>
      </c>
      <c r="H13" s="16">
        <v>2.2087459300000001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36.052732509999998</v>
      </c>
      <c r="F14" s="16">
        <v>2.5225250699999999</v>
      </c>
      <c r="G14" s="14">
        <v>63.947267490000002</v>
      </c>
      <c r="H14" s="16">
        <v>2.5225250699999999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32.109796240000001</v>
      </c>
      <c r="F15" s="16">
        <v>1.96248464</v>
      </c>
      <c r="G15" s="14">
        <v>67.890203760000006</v>
      </c>
      <c r="H15" s="16">
        <v>1.96248464</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(2567/B16*100)</f>
        <v>82.513661202185801</v>
      </c>
      <c r="D16" s="15">
        <v>544</v>
      </c>
      <c r="E16" s="14">
        <v>43.029680810000002</v>
      </c>
      <c r="F16" s="16">
        <v>1.9126101600000001</v>
      </c>
      <c r="G16" s="14">
        <v>56.970319189999998</v>
      </c>
      <c r="H16" s="16">
        <v>1.9126101600000001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46.277715999999998</v>
      </c>
      <c r="F17" s="16">
        <v>2.5040918099999998</v>
      </c>
      <c r="G17" s="14">
        <v>53.722284000000002</v>
      </c>
      <c r="H17" s="16">
        <v>2.5040918099999998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48.121448829999999</v>
      </c>
      <c r="F18" s="16">
        <v>2.5339869099999999</v>
      </c>
      <c r="G18" s="14">
        <v>51.878551170000001</v>
      </c>
      <c r="H18" s="16">
        <v>2.5339869099999999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38.473458260000001</v>
      </c>
      <c r="F19" s="16">
        <v>2.1459226500000002</v>
      </c>
      <c r="G19" s="14">
        <v>61.526541739999999</v>
      </c>
      <c r="H19" s="16">
        <v>2.1459226500000002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27.441415289999998</v>
      </c>
      <c r="F20" s="16">
        <v>2.7083059700000001</v>
      </c>
      <c r="G20" s="14">
        <v>72.558584710000005</v>
      </c>
      <c r="H20" s="16">
        <v>2.7083059700000001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41.360912749999997</v>
      </c>
      <c r="F22" s="16">
        <v>2.4160286399999999</v>
      </c>
      <c r="G22" s="14">
        <v>58.639087250000003</v>
      </c>
      <c r="H22" s="16">
        <v>2.4160286399999999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45.528132890000002</v>
      </c>
      <c r="F23" s="16">
        <v>2.40212096</v>
      </c>
      <c r="G23" s="14">
        <v>54.471867109999998</v>
      </c>
      <c r="H23" s="16">
        <v>2.40212096</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22.583723410000001</v>
      </c>
      <c r="F24" s="16">
        <v>1.9406625099999999</v>
      </c>
      <c r="G24" s="14">
        <v>77.416276589999995</v>
      </c>
      <c r="H24" s="16">
        <v>1.9406625099999999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36.411037929999999</v>
      </c>
      <c r="F25" s="16">
        <v>2.2772538600000001</v>
      </c>
      <c r="G25" s="14">
        <v>63.588962070000001</v>
      </c>
      <c r="H25" s="16">
        <v>2.2772538600000001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33.807979799999998</v>
      </c>
      <c r="F26" s="16">
        <v>2.4610363400000002</v>
      </c>
      <c r="G26" s="14">
        <v>66.192020200000002</v>
      </c>
      <c r="H26" s="16">
        <v>2.4610363400000002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37.757874309999998</v>
      </c>
      <c r="F27" s="16">
        <v>2.0786964700000001</v>
      </c>
      <c r="G27" s="14">
        <v>62.242125690000002</v>
      </c>
      <c r="H27" s="16">
        <v>2.0786964700000001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(3157/B28*100)</f>
        <v>83.013410465422027</v>
      </c>
      <c r="D28" s="15">
        <v>646</v>
      </c>
      <c r="E28" s="14">
        <v>54.612726760000001</v>
      </c>
      <c r="F28" s="16">
        <v>1.92607003</v>
      </c>
      <c r="G28" s="14">
        <v>45.387273239999999</v>
      </c>
      <c r="H28" s="16">
        <v>1.92607003</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39.51254539</v>
      </c>
      <c r="F29" s="16">
        <v>2.34853903</v>
      </c>
      <c r="G29" s="14">
        <v>60.48745461</v>
      </c>
      <c r="H29" s="16">
        <v>2.34853903</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29.910758560000001</v>
      </c>
      <c r="F30" s="16">
        <v>2.3218509100000002</v>
      </c>
      <c r="G30" s="14">
        <v>70.089241439999995</v>
      </c>
      <c r="H30" s="16">
        <v>2.3218509100000002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28.238058720000002</v>
      </c>
      <c r="F31" s="16">
        <v>2.0525736999999999</v>
      </c>
      <c r="G31" s="14">
        <v>71.761941280000002</v>
      </c>
      <c r="H31" s="16">
        <v>2.0525736999999999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(3029/B33*100)</f>
        <v>82.963571624212534</v>
      </c>
      <c r="D33" s="15">
        <v>622</v>
      </c>
      <c r="E33" s="14">
        <v>40.768982280000003</v>
      </c>
      <c r="F33" s="16">
        <v>2.1290822600000001</v>
      </c>
      <c r="G33" s="14">
        <v>59.231017719999997</v>
      </c>
      <c r="H33" s="16">
        <v>2.1290822600000001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40.460855879999997</v>
      </c>
      <c r="F34" s="16">
        <v>2.2624556899999999</v>
      </c>
      <c r="G34" s="14">
        <v>59.539144120000003</v>
      </c>
      <c r="H34" s="16">
        <v>2.2624556899999999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26.49017297</v>
      </c>
      <c r="F35" s="16">
        <v>2.3714831599999999</v>
      </c>
      <c r="G35" s="14">
        <v>73.509827029999997</v>
      </c>
      <c r="H35" s="16">
        <v>2.3714831599999999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39.263757669999997</v>
      </c>
      <c r="F36" s="16">
        <v>2.0860830799999999</v>
      </c>
      <c r="G36" s="14">
        <v>60.736242330000003</v>
      </c>
      <c r="H36" s="16">
        <v>2.0860830799999999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25.780880849999999</v>
      </c>
      <c r="F37" s="16">
        <v>2.0971801499999998</v>
      </c>
      <c r="G37" s="14">
        <v>74.219119149999997</v>
      </c>
      <c r="H37" s="16">
        <v>2.0971801499999998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80.992081220000003</v>
      </c>
      <c r="F39" s="16">
        <v>1.8038232700000001</v>
      </c>
      <c r="G39" s="14">
        <v>19.007918780000001</v>
      </c>
      <c r="H39" s="16">
        <v>1.8038232700000001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(5728/B40*100)</f>
        <v>82.750650101126837</v>
      </c>
      <c r="D40" s="15">
        <v>1194</v>
      </c>
      <c r="E40" s="14">
        <v>42.568040969999998</v>
      </c>
      <c r="F40" s="16">
        <v>2.2878490600000001</v>
      </c>
      <c r="G40" s="14">
        <v>57.431959030000002</v>
      </c>
      <c r="H40" s="16">
        <v>2.2878490600000001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37.545305499999998</v>
      </c>
      <c r="F41" s="16">
        <v>2.0964034699999998</v>
      </c>
      <c r="G41" s="14">
        <v>62.454694500000002</v>
      </c>
      <c r="H41" s="16">
        <v>2.0964034699999998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82.867755477318539</v>
      </c>
      <c r="D42" s="15">
        <f>IF(COUNT(D7:D41) &gt; 0, AVERAGE(D7:D41), "—")</f>
        <v>618.96875</v>
      </c>
      <c r="E42" s="14">
        <f>IF(COUNT(E7:E41) &gt; 0, AVERAGE(E7:E41), "—")</f>
        <v>38.460410945625</v>
      </c>
      <c r="F42" s="16">
        <f>IF(COUNT(F7:F41) &gt; 0, SQRT(SUMSQ(F7:F41)/(COUNT(F7:F41)*COUNT(F7:F41)) ), "—")</f>
        <v>0.38761819650175261</v>
      </c>
      <c r="G42" s="14">
        <f>IF(COUNT(G7:G41) &gt; 0, AVERAGE(G7:G41), "—")</f>
        <v>61.539589054374993</v>
      </c>
      <c r="H42" s="16">
        <f>IF(COUNT(H7:H41) &gt; 0, SQRT(SUMSQ(H7:H41)/(COUNT(H7:H41)*COUNT(H7:H41)) ), "—")</f>
        <v>0.38761819650175261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(10200/B46*100)</f>
        <v>84.486043236975078</v>
      </c>
      <c r="D46" s="15">
        <v>1873</v>
      </c>
      <c r="E46" s="14">
        <v>59.334750669999998</v>
      </c>
      <c r="F46" s="16">
        <v>1.66936415</v>
      </c>
      <c r="G46" s="14">
        <v>40.665249330000002</v>
      </c>
      <c r="H46" s="16">
        <v>1.66936415</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(2328/B47*100)</f>
        <v>82.465462274176403</v>
      </c>
      <c r="D47" s="15">
        <v>495</v>
      </c>
      <c r="E47" s="14">
        <v>43.754365790000001</v>
      </c>
      <c r="F47" s="16">
        <v>2.3963421399999998</v>
      </c>
      <c r="G47" s="14">
        <v>56.245634209999999</v>
      </c>
      <c r="H47" s="16">
        <v>2.3963421399999998</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59.064821289999998</v>
      </c>
      <c r="F48" s="16">
        <v>2.3987392199999999</v>
      </c>
      <c r="G48" s="14">
        <v>40.935178710000002</v>
      </c>
      <c r="H48" s="16">
        <v>2.3987392199999999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(5110/B50*100)</f>
        <v>82.981487495940243</v>
      </c>
      <c r="D50" s="15">
        <v>1048</v>
      </c>
      <c r="E50" s="14">
        <v>61.259835670000001</v>
      </c>
      <c r="F50" s="16">
        <v>1.8538738299999999</v>
      </c>
      <c r="G50" s="14">
        <v>38.740164329999999</v>
      </c>
      <c r="H50" s="16">
        <v>1.8538738299999999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(2973/B51*100)</f>
        <v>85.088723526044646</v>
      </c>
      <c r="D51" s="15">
        <v>521</v>
      </c>
      <c r="E51" s="14">
        <v>52.570783169999999</v>
      </c>
      <c r="F51" s="16">
        <v>2.79041351</v>
      </c>
      <c r="G51" s="14">
        <v>47.429216830000001</v>
      </c>
      <c r="H51" s="16">
        <v>2.79041351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40.302689180000002</v>
      </c>
      <c r="F52" s="16">
        <v>2.2460832399999999</v>
      </c>
      <c r="G52" s="14">
        <v>59.697310819999998</v>
      </c>
      <c r="H52" s="16">
        <v>2.2460832399999999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56.21301236</v>
      </c>
      <c r="F53" s="16">
        <v>2.7150448100000002</v>
      </c>
      <c r="G53" s="14">
        <v>43.78698764</v>
      </c>
      <c r="H53" s="16">
        <v>2.7150448100000002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50.983655370000001</v>
      </c>
      <c r="F56" s="16">
        <v>2.5298141699999999</v>
      </c>
      <c r="G56" s="14">
        <v>49.016344629999999</v>
      </c>
      <c r="H56" s="16">
        <v>2.5298141699999999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(2644/B61*100)</f>
        <v>82.599187753826925</v>
      </c>
      <c r="D61" s="15">
        <v>557</v>
      </c>
      <c r="E61" s="14">
        <v>39.664018409999997</v>
      </c>
      <c r="F61" s="16">
        <v>1.9006845000000001</v>
      </c>
      <c r="G61" s="14">
        <v>60.335981590000003</v>
      </c>
      <c r="H61" s="16">
        <v>1.9006845000000001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53.687031930000003</v>
      </c>
      <c r="F62" s="16">
        <v>2.3517632700000002</v>
      </c>
      <c r="G62" s="14">
        <v>46.312968069999997</v>
      </c>
      <c r="H62" s="16">
        <v>2.3517632700000002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(2282/B66*100)</f>
        <v>82.35294117647058</v>
      </c>
      <c r="D66" s="15">
        <v>489</v>
      </c>
      <c r="E66" s="14">
        <v>53.325123949999998</v>
      </c>
      <c r="F66" s="16">
        <v>2.0176690599999998</v>
      </c>
      <c r="G66" s="14">
        <v>46.674876050000002</v>
      </c>
      <c r="H66" s="16">
        <v>2.0176690599999998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(2909/B67*100)</f>
        <v>84.075144508670519</v>
      </c>
      <c r="D67" s="15">
        <v>551</v>
      </c>
      <c r="E67" s="14">
        <v>60.45190212</v>
      </c>
      <c r="F67" s="16">
        <v>2.1747642300000001</v>
      </c>
      <c r="G67" s="14">
        <v>39.54809788</v>
      </c>
      <c r="H67" s="16">
        <v>2.1747642300000001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45.530045379999997</v>
      </c>
      <c r="F70" s="16">
        <v>2.6753900800000001</v>
      </c>
      <c r="G70" s="14">
        <v>54.469954620000003</v>
      </c>
      <c r="H70" s="16">
        <v>2.6753900800000001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(3155/B72*100)</f>
        <v>82.613249541764858</v>
      </c>
      <c r="D72" s="15">
        <v>664</v>
      </c>
      <c r="E72" s="14">
        <v>43.53089791</v>
      </c>
      <c r="F72" s="16">
        <v>1.9126882700000001</v>
      </c>
      <c r="G72" s="14">
        <v>56.46910209</v>
      </c>
      <c r="H72" s="16">
        <v>1.9126882700000001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(3874/B73*100)</f>
        <v>83.276010318142738</v>
      </c>
      <c r="D73" s="15">
        <v>778</v>
      </c>
      <c r="E73" s="14">
        <v>72.083684779999999</v>
      </c>
      <c r="F73" s="16">
        <v>1.9455140500000001</v>
      </c>
      <c r="G73" s="14">
        <v>27.916315220000001</v>
      </c>
      <c r="H73" s="16">
        <v>1.9455140500000001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(2494/B75*100)</f>
        <v>84.00134725496801</v>
      </c>
      <c r="D75" s="15">
        <v>475</v>
      </c>
      <c r="E75" s="14">
        <v>81.314358440000007</v>
      </c>
      <c r="F75" s="16">
        <v>1.79628213</v>
      </c>
      <c r="G75" s="14">
        <v>18.685641560000001</v>
      </c>
      <c r="H75" s="16">
        <v>1.79628213</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50.920008250000002</v>
      </c>
      <c r="F76" s="16">
        <v>1.3904089900000001</v>
      </c>
      <c r="G76" s="14">
        <v>49.079991749999998</v>
      </c>
      <c r="H76" s="16">
        <v>1.3904089900000001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(2606/B77*100)</f>
        <v>82.625237793278373</v>
      </c>
      <c r="D77" s="15">
        <v>548</v>
      </c>
      <c r="E77" s="14">
        <v>46.335609839999996</v>
      </c>
      <c r="F77" s="16">
        <v>1.8889628700000001</v>
      </c>
      <c r="G77" s="14">
        <v>53.664390160000004</v>
      </c>
      <c r="H77" s="16">
        <v>1.8889628700000001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(3892/B81*100)</f>
        <v>82.843763303533407</v>
      </c>
      <c r="D81" s="15">
        <v>806</v>
      </c>
      <c r="E81" s="14">
        <v>43.088316220000003</v>
      </c>
      <c r="F81" s="16">
        <v>1.92845841</v>
      </c>
      <c r="G81" s="14">
        <v>56.911683779999997</v>
      </c>
      <c r="H81" s="16">
        <v>1.92845841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(5917/B7*100)</f>
        <v>82.605053748429427</v>
      </c>
      <c r="D7" s="15">
        <v>1246</v>
      </c>
      <c r="E7" s="14">
        <v>13.38095423</v>
      </c>
      <c r="F7" s="16">
        <v>1.1014748999999999</v>
      </c>
      <c r="G7" s="14">
        <v>86.61904577</v>
      </c>
      <c r="H7" s="16">
        <v>1.1014748999999999</v>
      </c>
      <c r="I7" s="14" t="s">
        <v>139</v>
      </c>
      <c r="J7" s="16" t="s">
        <v>139</v>
      </c>
      <c r="K7" s="14">
        <v>0</v>
      </c>
      <c r="L7" s="16">
        <v>0</v>
      </c>
      <c r="M7" s="14">
        <v>0</v>
      </c>
      <c r="N7" s="16">
        <v>0</v>
      </c>
      <c r="O7" s="14">
        <v>0</v>
      </c>
      <c r="P7" s="16">
        <v>0</v>
      </c>
      <c r="Q7" s="14">
        <v>0</v>
      </c>
      <c r="R7" s="16">
        <v>0</v>
      </c>
    </row>
    <row r="8" spans="1:18" x14ac:dyDescent="0.25">
      <c r="A8" s="11" t="s">
        <v>140</v>
      </c>
      <c r="B8" s="13">
        <v>3443</v>
      </c>
      <c r="C8" s="14">
        <f>(2826/B8*100)</f>
        <v>82.07958176009295</v>
      </c>
      <c r="D8" s="15">
        <v>617</v>
      </c>
      <c r="E8" s="14">
        <v>17.610381199999999</v>
      </c>
      <c r="F8" s="16">
        <v>1.8076477099999999</v>
      </c>
      <c r="G8" s="14">
        <v>82.389618799999994</v>
      </c>
      <c r="H8" s="16">
        <v>1.8076477099999999</v>
      </c>
      <c r="I8" s="14" t="s">
        <v>139</v>
      </c>
      <c r="J8" s="16" t="s">
        <v>139</v>
      </c>
      <c r="K8" s="14">
        <v>0</v>
      </c>
      <c r="L8" s="16">
        <v>0</v>
      </c>
      <c r="M8" s="14">
        <v>0</v>
      </c>
      <c r="N8" s="16">
        <v>0</v>
      </c>
      <c r="O8" s="14">
        <v>0</v>
      </c>
      <c r="P8" s="16">
        <v>0</v>
      </c>
      <c r="Q8" s="14">
        <v>0</v>
      </c>
      <c r="R8" s="16">
        <v>0</v>
      </c>
    </row>
    <row r="9" spans="1:18" x14ac:dyDescent="0.25">
      <c r="A9" s="11" t="s">
        <v>141</v>
      </c>
      <c r="B9" s="13">
        <v>4752</v>
      </c>
      <c r="C9" s="14">
        <f>(3960/B9*100)</f>
        <v>83.333333333333343</v>
      </c>
      <c r="D9" s="15">
        <v>792</v>
      </c>
      <c r="E9" s="14">
        <v>16.778151770000001</v>
      </c>
      <c r="F9" s="16">
        <v>1.41254814</v>
      </c>
      <c r="G9" s="14">
        <v>83.221848230000006</v>
      </c>
      <c r="H9" s="16">
        <v>1.41254814</v>
      </c>
      <c r="I9" s="14" t="s">
        <v>139</v>
      </c>
      <c r="J9" s="16" t="s">
        <v>139</v>
      </c>
      <c r="K9" s="14">
        <v>0</v>
      </c>
      <c r="L9" s="16">
        <v>0</v>
      </c>
      <c r="M9" s="14">
        <v>0</v>
      </c>
      <c r="N9" s="16">
        <v>0</v>
      </c>
      <c r="O9" s="14">
        <v>0</v>
      </c>
      <c r="P9" s="16">
        <v>0</v>
      </c>
      <c r="Q9" s="14">
        <v>0</v>
      </c>
      <c r="R9" s="16">
        <v>0</v>
      </c>
    </row>
    <row r="10" spans="1:18" x14ac:dyDescent="0.25">
      <c r="A10" s="11" t="s">
        <v>142</v>
      </c>
      <c r="B10" s="13">
        <v>10022</v>
      </c>
      <c r="C10" s="14">
        <f>(8297/B10*100)</f>
        <v>82.787866693274793</v>
      </c>
      <c r="D10" s="15">
        <v>1725</v>
      </c>
      <c r="E10" s="14">
        <v>11.40307964</v>
      </c>
      <c r="F10" s="16">
        <v>1.04235477</v>
      </c>
      <c r="G10" s="14">
        <v>88.596920359999999</v>
      </c>
      <c r="H10" s="16">
        <v>1.04235477</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(2884/B11*100)</f>
        <v>82.399999999999991</v>
      </c>
      <c r="D11" s="15">
        <v>616</v>
      </c>
      <c r="E11" s="14">
        <v>22.983709869999998</v>
      </c>
      <c r="F11" s="16">
        <v>1.8808572100000001</v>
      </c>
      <c r="G11" s="14">
        <v>77.016290130000002</v>
      </c>
      <c r="H11" s="16">
        <v>1.8808572100000001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(2863/B12*100)</f>
        <v>83.664523670368212</v>
      </c>
      <c r="D12" s="15">
        <v>559</v>
      </c>
      <c r="E12" s="14">
        <v>13.9776384</v>
      </c>
      <c r="F12" s="16">
        <v>1.4083686500000001</v>
      </c>
      <c r="G12" s="14">
        <v>86.022361599999996</v>
      </c>
      <c r="H12" s="16">
        <v>1.4083686500000001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15.43680195</v>
      </c>
      <c r="F13" s="16">
        <v>1.5734628399999999</v>
      </c>
      <c r="G13" s="14">
        <v>84.563198049999997</v>
      </c>
      <c r="H13" s="16">
        <v>1.5734628399999999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6.82766334</v>
      </c>
      <c r="F14" s="16">
        <v>1.15982875</v>
      </c>
      <c r="G14" s="14">
        <v>93.172336659999999</v>
      </c>
      <c r="H14" s="16">
        <v>1.15982875</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8.5298264199999991</v>
      </c>
      <c r="F15" s="16">
        <v>1.22985133</v>
      </c>
      <c r="G15" s="14">
        <v>91.470173579999994</v>
      </c>
      <c r="H15" s="16">
        <v>1.22985133</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(2567/B16*100)</f>
        <v>82.513661202185801</v>
      </c>
      <c r="D16" s="15">
        <v>544</v>
      </c>
      <c r="E16" s="14">
        <v>17.942218929999999</v>
      </c>
      <c r="F16" s="16">
        <v>1.6958179600000001</v>
      </c>
      <c r="G16" s="14">
        <v>82.057781070000004</v>
      </c>
      <c r="H16" s="16">
        <v>1.6958179600000001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15.53800951</v>
      </c>
      <c r="F17" s="16">
        <v>1.3062399200000001</v>
      </c>
      <c r="G17" s="14">
        <v>84.461990490000005</v>
      </c>
      <c r="H17" s="16">
        <v>1.3062399200000001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24.979767850000002</v>
      </c>
      <c r="F18" s="16">
        <v>1.9882058899999999</v>
      </c>
      <c r="G18" s="14">
        <v>75.020232149999998</v>
      </c>
      <c r="H18" s="16">
        <v>1.9882058899999999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21.037996740000001</v>
      </c>
      <c r="F19" s="16">
        <v>1.6837899000000001</v>
      </c>
      <c r="G19" s="14">
        <v>78.962003260000003</v>
      </c>
      <c r="H19" s="16">
        <v>1.6837899000000001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17.267132270000001</v>
      </c>
      <c r="F20" s="16">
        <v>2.15660673</v>
      </c>
      <c r="G20" s="14">
        <v>82.732867729999995</v>
      </c>
      <c r="H20" s="16">
        <v>2.15660673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23.58090305</v>
      </c>
      <c r="F22" s="16">
        <v>1.8285820699999999</v>
      </c>
      <c r="G22" s="14">
        <v>76.419096949999997</v>
      </c>
      <c r="H22" s="16">
        <v>1.8285820699999999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(4793/B23*100)</f>
        <v>82.752071823204417</v>
      </c>
      <c r="D23" s="15">
        <v>999</v>
      </c>
      <c r="E23" s="14">
        <v>19.44570951</v>
      </c>
      <c r="F23" s="16">
        <v>1.6383994099999999</v>
      </c>
      <c r="G23" s="14">
        <v>80.55429049</v>
      </c>
      <c r="H23" s="16">
        <v>1.6383994099999999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24.230649419999999</v>
      </c>
      <c r="F24" s="16">
        <v>1.8501490199999999</v>
      </c>
      <c r="G24" s="14">
        <v>75.769350579999994</v>
      </c>
      <c r="H24" s="16">
        <v>1.8501490199999999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37.616523970000003</v>
      </c>
      <c r="F25" s="16">
        <v>2.1979532900000001</v>
      </c>
      <c r="G25" s="14">
        <v>62.383476029999997</v>
      </c>
      <c r="H25" s="16">
        <v>2.1979532900000001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7.9994501500000004</v>
      </c>
      <c r="F26" s="16">
        <v>1.16802881</v>
      </c>
      <c r="G26" s="14">
        <v>92.000549849999999</v>
      </c>
      <c r="H26" s="16">
        <v>1.16802881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20.555001659999999</v>
      </c>
      <c r="F27" s="16">
        <v>1.9318109999999999</v>
      </c>
      <c r="G27" s="14">
        <v>79.444998339999998</v>
      </c>
      <c r="H27" s="16">
        <v>1.9318109999999999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(3160/B28*100)</f>
        <v>83.092295556139888</v>
      </c>
      <c r="D28" s="15">
        <v>643</v>
      </c>
      <c r="E28" s="14">
        <v>31.013955920000001</v>
      </c>
      <c r="F28" s="16">
        <v>1.8018730599999999</v>
      </c>
      <c r="G28" s="14">
        <v>68.986044079999999</v>
      </c>
      <c r="H28" s="16">
        <v>1.8018730599999999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20.15622218</v>
      </c>
      <c r="F29" s="16">
        <v>1.93212458</v>
      </c>
      <c r="G29" s="14">
        <v>79.84377782</v>
      </c>
      <c r="H29" s="16">
        <v>1.93212458</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14.63416224</v>
      </c>
      <c r="F30" s="16">
        <v>1.85344613</v>
      </c>
      <c r="G30" s="14">
        <v>85.365837760000005</v>
      </c>
      <c r="H30" s="16">
        <v>1.85344613</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14.69281625</v>
      </c>
      <c r="F31" s="16">
        <v>1.4506953899999999</v>
      </c>
      <c r="G31" s="14">
        <v>85.307183749999993</v>
      </c>
      <c r="H31" s="16">
        <v>1.4506953899999999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(3029/B33*100)</f>
        <v>82.963571624212534</v>
      </c>
      <c r="D33" s="15">
        <v>622</v>
      </c>
      <c r="E33" s="14">
        <v>17.16885319</v>
      </c>
      <c r="F33" s="16">
        <v>1.84898037</v>
      </c>
      <c r="G33" s="14">
        <v>82.831146810000007</v>
      </c>
      <c r="H33" s="16">
        <v>1.84898037</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15.50595886</v>
      </c>
      <c r="F34" s="16">
        <v>1.5872200999999999</v>
      </c>
      <c r="G34" s="14">
        <v>84.494041139999993</v>
      </c>
      <c r="H34" s="16">
        <v>1.5872200999999999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13.77665923</v>
      </c>
      <c r="F35" s="16">
        <v>1.9711664200000001</v>
      </c>
      <c r="G35" s="14">
        <v>86.223340769999993</v>
      </c>
      <c r="H35" s="16">
        <v>1.9711664200000001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14.48809936</v>
      </c>
      <c r="F36" s="16">
        <v>1.6530986700000001</v>
      </c>
      <c r="G36" s="14">
        <v>85.511900639999993</v>
      </c>
      <c r="H36" s="16">
        <v>1.6530986700000001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14.000989280000001</v>
      </c>
      <c r="F37" s="16">
        <v>1.46301528</v>
      </c>
      <c r="G37" s="14">
        <v>85.999010720000001</v>
      </c>
      <c r="H37" s="16">
        <v>1.46301528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42.24240717</v>
      </c>
      <c r="F39" s="16">
        <v>2.5600977399999998</v>
      </c>
      <c r="G39" s="14">
        <v>57.75759283</v>
      </c>
      <c r="H39" s="16">
        <v>2.5600977399999998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(5728/B40*100)</f>
        <v>82.750650101126837</v>
      </c>
      <c r="D40" s="15">
        <v>1194</v>
      </c>
      <c r="E40" s="14">
        <v>14.708262919999999</v>
      </c>
      <c r="F40" s="16">
        <v>1.34607503</v>
      </c>
      <c r="G40" s="14">
        <v>85.291737080000004</v>
      </c>
      <c r="H40" s="16">
        <v>1.34607503</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16.354573420000001</v>
      </c>
      <c r="F41" s="16">
        <v>1.7359959</v>
      </c>
      <c r="G41" s="14">
        <v>83.645426580000006</v>
      </c>
      <c r="H41" s="16">
        <v>1.7359959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82.874858487228494</v>
      </c>
      <c r="D42" s="15">
        <f>IF(COUNT(D7:D41) &gt; 0, AVERAGE(D7:D41), "—")</f>
        <v>618.71875</v>
      </c>
      <c r="E42" s="14">
        <f>IF(COUNT(E7:E41) &gt; 0, AVERAGE(E7:E41), "—")</f>
        <v>18.308266559375003</v>
      </c>
      <c r="F42" s="16">
        <f>IF(COUNT(F7:F41) &gt; 0, SQRT(SUMSQ(F7:F41)/(COUNT(F7:F41)*COUNT(F7:F41)) ), "—")</f>
        <v>0.30041098188118631</v>
      </c>
      <c r="G42" s="14">
        <f>IF(COUNT(G7:G41) &gt; 0, AVERAGE(G7:G41), "—")</f>
        <v>81.691733440624986</v>
      </c>
      <c r="H42" s="16">
        <f>IF(COUNT(H7:H41) &gt; 0, SQRT(SUMSQ(H7:H41)/(COUNT(H7:H41)*COUNT(H7:H41)) ), "—")</f>
        <v>0.30041098188118631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(10217/B46*100)</f>
        <v>84.626853309036704</v>
      </c>
      <c r="D46" s="15">
        <v>1856</v>
      </c>
      <c r="E46" s="14">
        <v>32.889359550000002</v>
      </c>
      <c r="F46" s="16">
        <v>1.63227901</v>
      </c>
      <c r="G46" s="14">
        <v>67.110640450000005</v>
      </c>
      <c r="H46" s="16">
        <v>1.63227901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(2328/B47*100)</f>
        <v>82.465462274176403</v>
      </c>
      <c r="D47" s="15">
        <v>495</v>
      </c>
      <c r="E47" s="14">
        <v>25.431799130000002</v>
      </c>
      <c r="F47" s="16">
        <v>2.1160657</v>
      </c>
      <c r="G47" s="14">
        <v>74.568200869999998</v>
      </c>
      <c r="H47" s="16">
        <v>2.1160657</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28.349669429999999</v>
      </c>
      <c r="F48" s="16">
        <v>1.83026953</v>
      </c>
      <c r="G48" s="14">
        <v>71.650330569999994</v>
      </c>
      <c r="H48" s="16">
        <v>1.83026953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(5114/B50*100)</f>
        <v>83.046443650535878</v>
      </c>
      <c r="D50" s="15">
        <v>1044</v>
      </c>
      <c r="E50" s="14">
        <v>33.024536449999999</v>
      </c>
      <c r="F50" s="16">
        <v>1.70889212</v>
      </c>
      <c r="G50" s="14">
        <v>66.975463550000001</v>
      </c>
      <c r="H50" s="16">
        <v>1.70889212</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(2974/B51*100)</f>
        <v>85.117344018317127</v>
      </c>
      <c r="D51" s="15">
        <v>520</v>
      </c>
      <c r="E51" s="14">
        <v>25.30529336</v>
      </c>
      <c r="F51" s="16">
        <v>1.7572352899999999</v>
      </c>
      <c r="G51" s="14">
        <v>74.694706640000007</v>
      </c>
      <c r="H51" s="16">
        <v>1.7572352899999999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15.523773950000001</v>
      </c>
      <c r="F52" s="16">
        <v>1.8573952499999999</v>
      </c>
      <c r="G52" s="14">
        <v>84.476226049999994</v>
      </c>
      <c r="H52" s="16">
        <v>1.8573952499999999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35.662958359999998</v>
      </c>
      <c r="F53" s="16">
        <v>2.3700611899999999</v>
      </c>
      <c r="G53" s="14">
        <v>64.337041639999995</v>
      </c>
      <c r="H53" s="16">
        <v>2.3700611899999999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25.388785240000001</v>
      </c>
      <c r="F56" s="16">
        <v>2.0853904499999998</v>
      </c>
      <c r="G56" s="14">
        <v>74.611214759999996</v>
      </c>
      <c r="H56" s="16">
        <v>2.0853904499999998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20.951186549999999</v>
      </c>
      <c r="F61" s="16">
        <v>1.9470736500000001</v>
      </c>
      <c r="G61" s="14">
        <v>79.048813449999997</v>
      </c>
      <c r="H61" s="16">
        <v>1.9470736500000001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29.242942970000001</v>
      </c>
      <c r="F62" s="16">
        <v>2.29617702</v>
      </c>
      <c r="G62" s="14">
        <v>70.757057029999999</v>
      </c>
      <c r="H62" s="16">
        <v>2.29617702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(2282/B66*100)</f>
        <v>82.35294117647058</v>
      </c>
      <c r="D66" s="15">
        <v>489</v>
      </c>
      <c r="E66" s="14">
        <v>24.046428179999999</v>
      </c>
      <c r="F66" s="16">
        <v>2.0005834400000002</v>
      </c>
      <c r="G66" s="14">
        <v>75.953571819999993</v>
      </c>
      <c r="H66" s="16">
        <v>2.0005834400000002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(2919/B67*100)</f>
        <v>84.364161849710982</v>
      </c>
      <c r="D67" s="15">
        <v>541</v>
      </c>
      <c r="E67" s="14">
        <v>41.774914799999998</v>
      </c>
      <c r="F67" s="16">
        <v>2.3426084500000002</v>
      </c>
      <c r="G67" s="14">
        <v>58.225085200000002</v>
      </c>
      <c r="H67" s="16">
        <v>2.3426084500000002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(2563/B70*100)</f>
        <v>82.491149018345666</v>
      </c>
      <c r="D70" s="15">
        <v>544</v>
      </c>
      <c r="E70" s="14">
        <v>17.191087570000001</v>
      </c>
      <c r="F70" s="16">
        <v>1.8939707100000001</v>
      </c>
      <c r="G70" s="14">
        <v>82.808912430000007</v>
      </c>
      <c r="H70" s="16">
        <v>1.8939707100000001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(3156/B72*100)</f>
        <v>82.639434406912798</v>
      </c>
      <c r="D72" s="15">
        <v>663</v>
      </c>
      <c r="E72" s="14">
        <v>27.726437910000001</v>
      </c>
      <c r="F72" s="16">
        <v>1.7579760900000001</v>
      </c>
      <c r="G72" s="14">
        <v>72.273562089999999</v>
      </c>
      <c r="H72" s="16">
        <v>1.7579760900000001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(3875/B73*100)</f>
        <v>83.297506448839215</v>
      </c>
      <c r="D73" s="15">
        <v>777</v>
      </c>
      <c r="E73" s="14">
        <v>62.567392329999997</v>
      </c>
      <c r="F73" s="16">
        <v>2.11243442</v>
      </c>
      <c r="G73" s="14">
        <v>37.432607670000003</v>
      </c>
      <c r="H73" s="16">
        <v>2.11243442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(2499/B75*100)</f>
        <v>84.169754125968339</v>
      </c>
      <c r="D75" s="15">
        <v>470</v>
      </c>
      <c r="E75" s="14">
        <v>39.09878767</v>
      </c>
      <c r="F75" s="16">
        <v>2.1750188100000001</v>
      </c>
      <c r="G75" s="14">
        <v>60.90121233</v>
      </c>
      <c r="H75" s="16">
        <v>2.1750188100000001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26.33094689</v>
      </c>
      <c r="F76" s="16">
        <v>1.5056018799999999</v>
      </c>
      <c r="G76" s="14">
        <v>73.669053109999993</v>
      </c>
      <c r="H76" s="16">
        <v>1.5056018799999999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(2606/B77*100)</f>
        <v>82.625237793278373</v>
      </c>
      <c r="D77" s="15">
        <v>548</v>
      </c>
      <c r="E77" s="14">
        <v>19.142754069999999</v>
      </c>
      <c r="F77" s="16">
        <v>1.7630423</v>
      </c>
      <c r="G77" s="14">
        <v>80.857245930000005</v>
      </c>
      <c r="H77" s="16">
        <v>1.7630423</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(3892/B81*100)</f>
        <v>82.843763303533407</v>
      </c>
      <c r="D81" s="15">
        <v>806</v>
      </c>
      <c r="E81" s="14">
        <v>42.869505359999998</v>
      </c>
      <c r="F81" s="16">
        <v>2.3708619</v>
      </c>
      <c r="G81" s="14">
        <v>57.130494640000002</v>
      </c>
      <c r="H81" s="16">
        <v>2.3708619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(5917/B7*100)</f>
        <v>82.605053748429427</v>
      </c>
      <c r="D7" s="15">
        <v>1246</v>
      </c>
      <c r="E7" s="14">
        <v>81.278844179999993</v>
      </c>
      <c r="F7" s="16">
        <v>1.27433482</v>
      </c>
      <c r="G7" s="14">
        <v>18.72115582</v>
      </c>
      <c r="H7" s="16">
        <v>1.27433482</v>
      </c>
      <c r="I7" s="14" t="s">
        <v>139</v>
      </c>
      <c r="J7" s="16" t="s">
        <v>139</v>
      </c>
      <c r="K7" s="14">
        <v>0</v>
      </c>
      <c r="L7" s="16">
        <v>0</v>
      </c>
      <c r="M7" s="14">
        <v>0</v>
      </c>
      <c r="N7" s="16">
        <v>0</v>
      </c>
      <c r="O7" s="14">
        <v>0</v>
      </c>
      <c r="P7" s="16">
        <v>0</v>
      </c>
      <c r="Q7" s="14">
        <v>0</v>
      </c>
      <c r="R7" s="16">
        <v>0</v>
      </c>
    </row>
    <row r="8" spans="1:18" x14ac:dyDescent="0.25">
      <c r="A8" s="11" t="s">
        <v>140</v>
      </c>
      <c r="B8" s="13">
        <v>3443</v>
      </c>
      <c r="C8" s="14">
        <f>(2826/B8*100)</f>
        <v>82.07958176009295</v>
      </c>
      <c r="D8" s="15">
        <v>617</v>
      </c>
      <c r="E8" s="14">
        <v>85.847632390000001</v>
      </c>
      <c r="F8" s="16">
        <v>1.4925979300000001</v>
      </c>
      <c r="G8" s="14">
        <v>14.152367610000001</v>
      </c>
      <c r="H8" s="16">
        <v>1.4925979300000001</v>
      </c>
      <c r="I8" s="14" t="s">
        <v>139</v>
      </c>
      <c r="J8" s="16" t="s">
        <v>139</v>
      </c>
      <c r="K8" s="14">
        <v>0</v>
      </c>
      <c r="L8" s="16">
        <v>0</v>
      </c>
      <c r="M8" s="14">
        <v>0</v>
      </c>
      <c r="N8" s="16">
        <v>0</v>
      </c>
      <c r="O8" s="14">
        <v>0</v>
      </c>
      <c r="P8" s="16">
        <v>0</v>
      </c>
      <c r="Q8" s="14">
        <v>0</v>
      </c>
      <c r="R8" s="16">
        <v>0</v>
      </c>
    </row>
    <row r="9" spans="1:18" x14ac:dyDescent="0.25">
      <c r="A9" s="11" t="s">
        <v>141</v>
      </c>
      <c r="B9" s="13">
        <v>4752</v>
      </c>
      <c r="C9" s="14">
        <f>(3960/B9*100)</f>
        <v>83.333333333333343</v>
      </c>
      <c r="D9" s="15">
        <v>792</v>
      </c>
      <c r="E9" s="14">
        <v>80.133585479999994</v>
      </c>
      <c r="F9" s="16">
        <v>1.6146942200000001</v>
      </c>
      <c r="G9" s="14">
        <v>19.866414519999999</v>
      </c>
      <c r="H9" s="16">
        <v>1.6146942200000001</v>
      </c>
      <c r="I9" s="14" t="s">
        <v>139</v>
      </c>
      <c r="J9" s="16" t="s">
        <v>139</v>
      </c>
      <c r="K9" s="14">
        <v>0</v>
      </c>
      <c r="L9" s="16">
        <v>0</v>
      </c>
      <c r="M9" s="14">
        <v>0</v>
      </c>
      <c r="N9" s="16">
        <v>0</v>
      </c>
      <c r="O9" s="14">
        <v>0</v>
      </c>
      <c r="P9" s="16">
        <v>0</v>
      </c>
      <c r="Q9" s="14">
        <v>0</v>
      </c>
      <c r="R9" s="16">
        <v>0</v>
      </c>
    </row>
    <row r="10" spans="1:18" x14ac:dyDescent="0.25">
      <c r="A10" s="11" t="s">
        <v>142</v>
      </c>
      <c r="B10" s="13">
        <v>10022</v>
      </c>
      <c r="C10" s="14">
        <f>(8297/B10*100)</f>
        <v>82.787866693274793</v>
      </c>
      <c r="D10" s="15">
        <v>1725</v>
      </c>
      <c r="E10" s="14">
        <v>81.303832049999997</v>
      </c>
      <c r="F10" s="16">
        <v>1.2439227100000001</v>
      </c>
      <c r="G10" s="14">
        <v>18.69616795</v>
      </c>
      <c r="H10" s="16">
        <v>1.2439227100000001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(2884/B11*100)</f>
        <v>82.399999999999991</v>
      </c>
      <c r="D11" s="15">
        <v>616</v>
      </c>
      <c r="E11" s="14">
        <v>91.952113699999998</v>
      </c>
      <c r="F11" s="16">
        <v>1.1048096700000001</v>
      </c>
      <c r="G11" s="14">
        <v>8.0478863</v>
      </c>
      <c r="H11" s="16">
        <v>1.1048096700000001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(2863/B12*100)</f>
        <v>83.664523670368212</v>
      </c>
      <c r="D12" s="15">
        <v>559</v>
      </c>
      <c r="E12" s="14">
        <v>85.552660689999996</v>
      </c>
      <c r="F12" s="16">
        <v>1.51657946</v>
      </c>
      <c r="G12" s="14">
        <v>14.44733931</v>
      </c>
      <c r="H12" s="16">
        <v>1.51657946</v>
      </c>
      <c r="I12" s="14" t="s">
        <v>139</v>
      </c>
      <c r="J12" s="16" t="s">
        <v>139</v>
      </c>
      <c r="K12" s="14">
        <v>0</v>
      </c>
      <c r="L12" s="16">
        <v>0</v>
      </c>
      <c r="M12" s="14">
        <v>0</v>
      </c>
      <c r="N12" s="16">
        <v>0</v>
      </c>
      <c r="O12" s="14">
        <v>0</v>
      </c>
      <c r="P12" s="16">
        <v>0</v>
      </c>
      <c r="Q12" s="14">
        <v>0</v>
      </c>
      <c r="R12" s="16">
        <v>0</v>
      </c>
    </row>
    <row r="13" spans="1:18" x14ac:dyDescent="0.25">
      <c r="A13" s="11" t="s">
        <v>145</v>
      </c>
      <c r="B13" s="13">
        <v>3602</v>
      </c>
      <c r="C13" s="14">
        <f>(2998/B13*100)</f>
        <v>83.231538034425327</v>
      </c>
      <c r="D13" s="15">
        <v>604</v>
      </c>
      <c r="E13" s="14">
        <v>82.744715670000005</v>
      </c>
      <c r="F13" s="16">
        <v>1.74071354</v>
      </c>
      <c r="G13" s="14">
        <v>17.255284329999999</v>
      </c>
      <c r="H13" s="16">
        <v>1.74071354</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79.376803769999995</v>
      </c>
      <c r="F14" s="16">
        <v>1.82352559</v>
      </c>
      <c r="G14" s="14">
        <v>20.623196230000001</v>
      </c>
      <c r="H14" s="16">
        <v>1.82352559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70.846516219999998</v>
      </c>
      <c r="F15" s="16">
        <v>2.00347893</v>
      </c>
      <c r="G15" s="14">
        <v>29.153483779999998</v>
      </c>
      <c r="H15" s="16">
        <v>2.00347893</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(2567/B16*100)</f>
        <v>82.513661202185801</v>
      </c>
      <c r="D16" s="15">
        <v>544</v>
      </c>
      <c r="E16" s="14">
        <v>82.180472370000004</v>
      </c>
      <c r="F16" s="16">
        <v>1.5618723000000001</v>
      </c>
      <c r="G16" s="14">
        <v>17.81952763</v>
      </c>
      <c r="H16" s="16">
        <v>1.5618723000000001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84.392703670000003</v>
      </c>
      <c r="F17" s="16">
        <v>1.58186845</v>
      </c>
      <c r="G17" s="14">
        <v>15.60729633</v>
      </c>
      <c r="H17" s="16">
        <v>1.58186845</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86.732287470000003</v>
      </c>
      <c r="F18" s="16">
        <v>1.5688492999999999</v>
      </c>
      <c r="G18" s="14">
        <v>13.267712530000001</v>
      </c>
      <c r="H18" s="16">
        <v>1.5688492999999999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84.081173480000004</v>
      </c>
      <c r="F19" s="16">
        <v>1.70775411</v>
      </c>
      <c r="G19" s="14">
        <v>15.91882652</v>
      </c>
      <c r="H19" s="16">
        <v>1.70775411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83.871030739999995</v>
      </c>
      <c r="F20" s="16">
        <v>1.9706406000000001</v>
      </c>
      <c r="G20" s="14">
        <v>16.128969260000002</v>
      </c>
      <c r="H20" s="16">
        <v>1.9706406000000001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87.223157150000006</v>
      </c>
      <c r="F22" s="16">
        <v>1.4426662400000001</v>
      </c>
      <c r="G22" s="14">
        <v>12.77684285</v>
      </c>
      <c r="H22" s="16">
        <v>1.4426662400000001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(4793/B23*100)</f>
        <v>82.752071823204417</v>
      </c>
      <c r="D23" s="15">
        <v>999</v>
      </c>
      <c r="E23" s="14">
        <v>87.431052789999995</v>
      </c>
      <c r="F23" s="16">
        <v>1.6136603199999999</v>
      </c>
      <c r="G23" s="14">
        <v>12.568947209999999</v>
      </c>
      <c r="H23" s="16">
        <v>1.6136603199999999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88.341763229999998</v>
      </c>
      <c r="F24" s="16">
        <v>1.37887749</v>
      </c>
      <c r="G24" s="14">
        <v>11.65823677</v>
      </c>
      <c r="H24" s="16">
        <v>1.37887749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(2205/B25*100)</f>
        <v>82.615211689771456</v>
      </c>
      <c r="D25" s="15">
        <v>464</v>
      </c>
      <c r="E25" s="14">
        <v>54.021338129999997</v>
      </c>
      <c r="F25" s="16">
        <v>2.3377072600000002</v>
      </c>
      <c r="G25" s="14">
        <v>45.978661870000003</v>
      </c>
      <c r="H25" s="16">
        <v>2.3377072600000002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75.184418230000006</v>
      </c>
      <c r="F26" s="16">
        <v>2.5475726500000002</v>
      </c>
      <c r="G26" s="14">
        <v>24.815581770000001</v>
      </c>
      <c r="H26" s="16">
        <v>2.5475726500000002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(2202/B27*100)</f>
        <v>82.072307118896759</v>
      </c>
      <c r="D27" s="15">
        <v>481</v>
      </c>
      <c r="E27" s="14">
        <v>85.74440525</v>
      </c>
      <c r="F27" s="16">
        <v>1.57767915</v>
      </c>
      <c r="G27" s="14">
        <v>14.25559475</v>
      </c>
      <c r="H27" s="16">
        <v>1.57767915</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(3160/B28*100)</f>
        <v>83.092295556139888</v>
      </c>
      <c r="D28" s="15">
        <v>643</v>
      </c>
      <c r="E28" s="14">
        <v>79.534397549999994</v>
      </c>
      <c r="F28" s="16">
        <v>1.6881465899999999</v>
      </c>
      <c r="G28" s="14">
        <v>20.465602449999999</v>
      </c>
      <c r="H28" s="16">
        <v>1.6881465899999999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79.495538850000003</v>
      </c>
      <c r="F29" s="16">
        <v>1.81880156</v>
      </c>
      <c r="G29" s="14">
        <v>20.504461150000001</v>
      </c>
      <c r="H29" s="16">
        <v>1.81880156</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80.428290200000006</v>
      </c>
      <c r="F30" s="16">
        <v>2.2920832099999999</v>
      </c>
      <c r="G30" s="14">
        <v>19.571709800000001</v>
      </c>
      <c r="H30" s="16">
        <v>2.2920832099999999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84.946445839999996</v>
      </c>
      <c r="F31" s="16">
        <v>1.70917783</v>
      </c>
      <c r="G31" s="14">
        <v>15.053554159999999</v>
      </c>
      <c r="H31" s="16">
        <v>1.70917783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(3029/B33*100)</f>
        <v>82.963571624212534</v>
      </c>
      <c r="D33" s="15">
        <v>622</v>
      </c>
      <c r="E33" s="14">
        <v>89.232478839999999</v>
      </c>
      <c r="F33" s="16">
        <v>1.3998948099999999</v>
      </c>
      <c r="G33" s="14">
        <v>10.767521159999999</v>
      </c>
      <c r="H33" s="16">
        <v>1.3998948099999999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(2530/B34*100)</f>
        <v>83.360790774299829</v>
      </c>
      <c r="D34" s="15">
        <v>505</v>
      </c>
      <c r="E34" s="14">
        <v>91.200690190000003</v>
      </c>
      <c r="F34" s="16">
        <v>1.3404885099999999</v>
      </c>
      <c r="G34" s="14">
        <v>8.7993098100000005</v>
      </c>
      <c r="H34" s="16">
        <v>1.3404885099999999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89.988291320000002</v>
      </c>
      <c r="F35" s="16">
        <v>1.6381306600000001</v>
      </c>
      <c r="G35" s="14">
        <v>10.01170868</v>
      </c>
      <c r="H35" s="16">
        <v>1.6381306600000001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86.497264670000007</v>
      </c>
      <c r="F36" s="16">
        <v>1.50465849</v>
      </c>
      <c r="G36" s="14">
        <v>13.50273533</v>
      </c>
      <c r="H36" s="16">
        <v>1.50465849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84.830282170000004</v>
      </c>
      <c r="F37" s="16">
        <v>1.76849174</v>
      </c>
      <c r="G37" s="14">
        <v>15.16971783</v>
      </c>
      <c r="H37" s="16">
        <v>1.76849174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85.374279000000001</v>
      </c>
      <c r="F39" s="16">
        <v>1.56382657</v>
      </c>
      <c r="G39" s="14">
        <v>14.625721</v>
      </c>
      <c r="H39" s="16">
        <v>1.56382657</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(5728/B40*100)</f>
        <v>82.750650101126837</v>
      </c>
      <c r="D40" s="15">
        <v>1194</v>
      </c>
      <c r="E40" s="14">
        <v>83.607582649999998</v>
      </c>
      <c r="F40" s="16">
        <v>1.5299302699999999</v>
      </c>
      <c r="G40" s="14">
        <v>16.392417349999999</v>
      </c>
      <c r="H40" s="16">
        <v>1.5299302699999999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(2346/B41*100)</f>
        <v>82.20042046250876</v>
      </c>
      <c r="D41" s="15">
        <v>508</v>
      </c>
      <c r="E41" s="14">
        <v>81.853821240000002</v>
      </c>
      <c r="F41" s="16">
        <v>1.6821685399999999</v>
      </c>
      <c r="G41" s="14">
        <v>18.146178760000002</v>
      </c>
      <c r="H41" s="16">
        <v>1.6821685399999999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82.874858487228494</v>
      </c>
      <c r="D42" s="15">
        <f>IF(COUNT(D7:D41) &gt; 0, AVERAGE(D7:D41), "—")</f>
        <v>618.71875</v>
      </c>
      <c r="E42" s="14">
        <f>IF(COUNT(E7:E41) &gt; 0, AVERAGE(E7:E41), "—")</f>
        <v>82.97593341187499</v>
      </c>
      <c r="F42" s="16">
        <f>IF(COUNT(F7:F41) &gt; 0, SQRT(SUMSQ(F7:F41)/(COUNT(F7:F41)*COUNT(F7:F41)) ), "—")</f>
        <v>0.29795867277237847</v>
      </c>
      <c r="G42" s="14">
        <f>IF(COUNT(G7:G41) &gt; 0, AVERAGE(G7:G41), "—")</f>
        <v>17.024066588124999</v>
      </c>
      <c r="H42" s="16">
        <f>IF(COUNT(H7:H41) &gt; 0, SQRT(SUMSQ(H7:H41)/(COUNT(H7:H41)*COUNT(H7:H41)) ), "—")</f>
        <v>0.29795867277237847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(10217/B46*100)</f>
        <v>84.626853309036704</v>
      </c>
      <c r="D46" s="15">
        <v>1856</v>
      </c>
      <c r="E46" s="14">
        <v>87.911361619999994</v>
      </c>
      <c r="F46" s="16">
        <v>0.95192418999999995</v>
      </c>
      <c r="G46" s="14">
        <v>12.088638380000001</v>
      </c>
      <c r="H46" s="16">
        <v>0.95192418999999995</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(2328/B47*100)</f>
        <v>82.465462274176403</v>
      </c>
      <c r="D47" s="15">
        <v>495</v>
      </c>
      <c r="E47" s="14">
        <v>80.284240659999995</v>
      </c>
      <c r="F47" s="16">
        <v>1.6915966</v>
      </c>
      <c r="G47" s="14">
        <v>19.715759340000002</v>
      </c>
      <c r="H47" s="16">
        <v>1.6915966</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86.060305690000007</v>
      </c>
      <c r="F48" s="16">
        <v>1.42782878</v>
      </c>
      <c r="G48" s="14">
        <v>13.93969431</v>
      </c>
      <c r="H48" s="16">
        <v>1.42782878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(5114/B50*100)</f>
        <v>83.046443650535878</v>
      </c>
      <c r="D50" s="15">
        <v>1044</v>
      </c>
      <c r="E50" s="14">
        <v>92.347385979999999</v>
      </c>
      <c r="F50" s="16">
        <v>1.0119343000000001</v>
      </c>
      <c r="G50" s="14">
        <v>7.6526140199999997</v>
      </c>
      <c r="H50" s="16">
        <v>1.0119343000000001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(2974/B51*100)</f>
        <v>85.117344018317127</v>
      </c>
      <c r="D51" s="15">
        <v>520</v>
      </c>
      <c r="E51" s="14">
        <v>92.867352650000001</v>
      </c>
      <c r="F51" s="16">
        <v>1.15117476</v>
      </c>
      <c r="G51" s="14">
        <v>7.1326473500000001</v>
      </c>
      <c r="H51" s="16">
        <v>1.15117476</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(2492/B52*100)</f>
        <v>82.708264188516438</v>
      </c>
      <c r="D52" s="15">
        <v>521</v>
      </c>
      <c r="E52" s="14">
        <v>87.835821679999995</v>
      </c>
      <c r="F52" s="16">
        <v>1.3927897899999999</v>
      </c>
      <c r="G52" s="14">
        <v>12.16417832</v>
      </c>
      <c r="H52" s="16">
        <v>1.3927897899999999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(2299/B53*100)</f>
        <v>83.29710144927536</v>
      </c>
      <c r="D53" s="15">
        <v>461</v>
      </c>
      <c r="E53" s="14">
        <v>75.517965840000002</v>
      </c>
      <c r="F53" s="16">
        <v>2.35735282</v>
      </c>
      <c r="G53" s="14">
        <v>24.482034160000001</v>
      </c>
      <c r="H53" s="16">
        <v>2.35735282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(2204/B56*100)</f>
        <v>82.392523364485982</v>
      </c>
      <c r="D56" s="15">
        <v>471</v>
      </c>
      <c r="E56" s="14">
        <v>80.594491219999995</v>
      </c>
      <c r="F56" s="16">
        <v>1.8329673799999999</v>
      </c>
      <c r="G56" s="14">
        <v>19.405508780000002</v>
      </c>
      <c r="H56" s="16">
        <v>1.8329673799999999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89.795533030000001</v>
      </c>
      <c r="F61" s="16">
        <v>1.2881879000000001</v>
      </c>
      <c r="G61" s="14">
        <v>10.20446697</v>
      </c>
      <c r="H61" s="16">
        <v>1.2881879000000001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76.732541589999997</v>
      </c>
      <c r="F62" s="16">
        <v>2.03517248</v>
      </c>
      <c r="G62" s="14">
        <v>23.26745841</v>
      </c>
      <c r="H62" s="16">
        <v>2.03517248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(2282/B66*100)</f>
        <v>82.35294117647058</v>
      </c>
      <c r="D66" s="15">
        <v>489</v>
      </c>
      <c r="E66" s="14">
        <v>87.201944940000004</v>
      </c>
      <c r="F66" s="16">
        <v>1.3862477900000001</v>
      </c>
      <c r="G66" s="14">
        <v>12.798055059999999</v>
      </c>
      <c r="H66" s="16">
        <v>1.3862477900000001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(2919/B67*100)</f>
        <v>84.364161849710982</v>
      </c>
      <c r="D67" s="15">
        <v>541</v>
      </c>
      <c r="E67" s="14">
        <v>88.952768149999997</v>
      </c>
      <c r="F67" s="16">
        <v>1.46214939</v>
      </c>
      <c r="G67" s="14">
        <v>11.047231849999999</v>
      </c>
      <c r="H67" s="16">
        <v>1.46214939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(2563/B70*100)</f>
        <v>82.491149018345666</v>
      </c>
      <c r="D70" s="15">
        <v>544</v>
      </c>
      <c r="E70" s="14">
        <v>82.285796090000005</v>
      </c>
      <c r="F70" s="16">
        <v>1.8327775500000001</v>
      </c>
      <c r="G70" s="14">
        <v>17.714203909999998</v>
      </c>
      <c r="H70" s="16">
        <v>1.8327775500000001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(3156/B72*100)</f>
        <v>82.639434406912798</v>
      </c>
      <c r="D72" s="15">
        <v>663</v>
      </c>
      <c r="E72" s="14">
        <v>76.135270329999997</v>
      </c>
      <c r="F72" s="16">
        <v>1.62098841</v>
      </c>
      <c r="G72" s="14">
        <v>23.864729669999999</v>
      </c>
      <c r="H72" s="16">
        <v>1.62098841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(3875/B73*100)</f>
        <v>83.297506448839215</v>
      </c>
      <c r="D73" s="15">
        <v>777</v>
      </c>
      <c r="E73" s="14">
        <v>63.595711889999997</v>
      </c>
      <c r="F73" s="16">
        <v>2.4331524899999999</v>
      </c>
      <c r="G73" s="14">
        <v>36.404288110000003</v>
      </c>
      <c r="H73" s="16">
        <v>2.4331524899999999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(2499/B75*100)</f>
        <v>84.169754125968339</v>
      </c>
      <c r="D75" s="15">
        <v>470</v>
      </c>
      <c r="E75" s="14">
        <v>88.380123429999998</v>
      </c>
      <c r="F75" s="16">
        <v>1.42424902</v>
      </c>
      <c r="G75" s="14">
        <v>11.619876570000001</v>
      </c>
      <c r="H75" s="16">
        <v>1.42424902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84.600312619999997</v>
      </c>
      <c r="F76" s="16">
        <v>1.0002090299999999</v>
      </c>
      <c r="G76" s="14">
        <v>15.39968738</v>
      </c>
      <c r="H76" s="16">
        <v>1.0002090299999999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(2606/B77*100)</f>
        <v>82.625237793278373</v>
      </c>
      <c r="D77" s="15">
        <v>548</v>
      </c>
      <c r="E77" s="14">
        <v>88.771110129999997</v>
      </c>
      <c r="F77" s="16">
        <v>1.2441887199999999</v>
      </c>
      <c r="G77" s="14">
        <v>11.22888987</v>
      </c>
      <c r="H77" s="16">
        <v>1.2441887199999999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(3892/B81*100)</f>
        <v>82.843763303533407</v>
      </c>
      <c r="D81" s="15">
        <v>806</v>
      </c>
      <c r="E81" s="14">
        <v>66.530141069999999</v>
      </c>
      <c r="F81" s="16">
        <v>2.14782465</v>
      </c>
      <c r="G81" s="14">
        <v>33.469858930000001</v>
      </c>
      <c r="H81" s="16">
        <v>2.14782465</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(5918/B7*100)</f>
        <v>82.619014379449951</v>
      </c>
      <c r="D7" s="15">
        <v>1245</v>
      </c>
      <c r="E7" s="14">
        <v>59.083995569999999</v>
      </c>
      <c r="F7" s="16">
        <v>1.6081061800000001</v>
      </c>
      <c r="G7" s="14">
        <v>40.916004430000001</v>
      </c>
      <c r="H7" s="16">
        <v>1.6081061800000001</v>
      </c>
      <c r="I7" s="14" t="s">
        <v>139</v>
      </c>
      <c r="J7" s="16" t="s">
        <v>139</v>
      </c>
      <c r="K7" s="14">
        <v>0</v>
      </c>
      <c r="L7" s="16">
        <v>0</v>
      </c>
      <c r="M7" s="14">
        <v>0</v>
      </c>
      <c r="N7" s="16">
        <v>0</v>
      </c>
      <c r="O7" s="14">
        <v>0</v>
      </c>
      <c r="P7" s="16">
        <v>0</v>
      </c>
      <c r="Q7" s="14">
        <v>0</v>
      </c>
      <c r="R7" s="16">
        <v>0</v>
      </c>
    </row>
    <row r="8" spans="1:18" x14ac:dyDescent="0.25">
      <c r="A8" s="11" t="s">
        <v>140</v>
      </c>
      <c r="B8" s="13">
        <v>3443</v>
      </c>
      <c r="C8" s="14">
        <f>(2828/B8*100)</f>
        <v>82.137670636073196</v>
      </c>
      <c r="D8" s="15">
        <v>615</v>
      </c>
      <c r="E8" s="14">
        <v>65.600896700000007</v>
      </c>
      <c r="F8" s="16">
        <v>1.9903389899999999</v>
      </c>
      <c r="G8" s="14">
        <v>34.3991033</v>
      </c>
      <c r="H8" s="16">
        <v>1.9903389899999999</v>
      </c>
      <c r="I8" s="14" t="s">
        <v>139</v>
      </c>
      <c r="J8" s="16" t="s">
        <v>139</v>
      </c>
      <c r="K8" s="14">
        <v>0</v>
      </c>
      <c r="L8" s="16">
        <v>0</v>
      </c>
      <c r="M8" s="14">
        <v>0</v>
      </c>
      <c r="N8" s="16">
        <v>0</v>
      </c>
      <c r="O8" s="14">
        <v>0</v>
      </c>
      <c r="P8" s="16">
        <v>0</v>
      </c>
      <c r="Q8" s="14">
        <v>0</v>
      </c>
      <c r="R8" s="16">
        <v>0</v>
      </c>
    </row>
    <row r="9" spans="1:18" x14ac:dyDescent="0.25">
      <c r="A9" s="11" t="s">
        <v>141</v>
      </c>
      <c r="B9" s="13">
        <v>4752</v>
      </c>
      <c r="C9" s="14">
        <f>(3964/B9*100)</f>
        <v>83.417508417508415</v>
      </c>
      <c r="D9" s="15">
        <v>788</v>
      </c>
      <c r="E9" s="14">
        <v>62.134176480000001</v>
      </c>
      <c r="F9" s="16">
        <v>1.83671633</v>
      </c>
      <c r="G9" s="14">
        <v>37.865823519999999</v>
      </c>
      <c r="H9" s="16">
        <v>1.83671633</v>
      </c>
      <c r="I9" s="14" t="s">
        <v>139</v>
      </c>
      <c r="J9" s="16" t="s">
        <v>139</v>
      </c>
      <c r="K9" s="14">
        <v>0</v>
      </c>
      <c r="L9" s="16">
        <v>0</v>
      </c>
      <c r="M9" s="14">
        <v>0</v>
      </c>
      <c r="N9" s="16">
        <v>0</v>
      </c>
      <c r="O9" s="14">
        <v>0</v>
      </c>
      <c r="P9" s="16">
        <v>0</v>
      </c>
      <c r="Q9" s="14">
        <v>0</v>
      </c>
      <c r="R9" s="16">
        <v>0</v>
      </c>
    </row>
    <row r="10" spans="1:18" x14ac:dyDescent="0.25">
      <c r="A10" s="11" t="s">
        <v>142</v>
      </c>
      <c r="B10" s="13">
        <v>10022</v>
      </c>
      <c r="C10" s="14">
        <f>(8301/B10*100)</f>
        <v>82.827778886449806</v>
      </c>
      <c r="D10" s="15">
        <v>1721</v>
      </c>
      <c r="E10" s="14">
        <v>61.916550430000001</v>
      </c>
      <c r="F10" s="16">
        <v>1.27233229</v>
      </c>
      <c r="G10" s="14">
        <v>38.083449569999999</v>
      </c>
      <c r="H10" s="16">
        <v>1.27233229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(2886/B11*100)</f>
        <v>82.457142857142856</v>
      </c>
      <c r="D11" s="15">
        <v>614</v>
      </c>
      <c r="E11" s="14">
        <v>61.140599160000001</v>
      </c>
      <c r="F11" s="16">
        <v>2.30476043</v>
      </c>
      <c r="G11" s="14">
        <v>38.859400839999999</v>
      </c>
      <c r="H11" s="16">
        <v>2.30476043</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(2863/B12*100)</f>
        <v>83.664523670368212</v>
      </c>
      <c r="D12" s="15">
        <v>559</v>
      </c>
      <c r="E12" s="14">
        <v>59.059401379999997</v>
      </c>
      <c r="F12" s="16">
        <v>2.2396916</v>
      </c>
      <c r="G12" s="14">
        <v>40.940598620000003</v>
      </c>
      <c r="H12" s="16">
        <v>2.2396916</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(3001/B13*100)</f>
        <v>83.314825097168239</v>
      </c>
      <c r="D13" s="15">
        <v>601</v>
      </c>
      <c r="E13" s="14">
        <v>52.319588930000002</v>
      </c>
      <c r="F13" s="16">
        <v>2.6948939300000001</v>
      </c>
      <c r="G13" s="14">
        <v>47.680411069999998</v>
      </c>
      <c r="H13" s="16">
        <v>2.6948939300000001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(2307/B14*100)</f>
        <v>82.747489239598281</v>
      </c>
      <c r="D14" s="15">
        <v>481</v>
      </c>
      <c r="E14" s="14">
        <v>52.282804460000001</v>
      </c>
      <c r="F14" s="16">
        <v>2.0162124600000002</v>
      </c>
      <c r="G14" s="14">
        <v>47.717195539999999</v>
      </c>
      <c r="H14" s="16">
        <v>2.0162124600000002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51.273516090000001</v>
      </c>
      <c r="F15" s="16">
        <v>2.3316488899999999</v>
      </c>
      <c r="G15" s="14">
        <v>48.726483909999999</v>
      </c>
      <c r="H15" s="16">
        <v>2.3316488899999999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(2568/B16*100)</f>
        <v>82.54580520732884</v>
      </c>
      <c r="D16" s="15">
        <v>543</v>
      </c>
      <c r="E16" s="14">
        <v>64.045224610000005</v>
      </c>
      <c r="F16" s="16">
        <v>2.0662666299999999</v>
      </c>
      <c r="G16" s="14">
        <v>35.954775390000002</v>
      </c>
      <c r="H16" s="16">
        <v>2.0662666299999999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61.675494669999999</v>
      </c>
      <c r="F17" s="16">
        <v>1.9948168399999999</v>
      </c>
      <c r="G17" s="14">
        <v>38.324505330000001</v>
      </c>
      <c r="H17" s="16">
        <v>1.9948168399999999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57.120497039999997</v>
      </c>
      <c r="F18" s="16">
        <v>2.24041947</v>
      </c>
      <c r="G18" s="14">
        <v>42.879502960000003</v>
      </c>
      <c r="H18" s="16">
        <v>2.24041947</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50.58731161</v>
      </c>
      <c r="F19" s="16">
        <v>2.5042175200000001</v>
      </c>
      <c r="G19" s="14">
        <v>49.41268839</v>
      </c>
      <c r="H19" s="16">
        <v>2.5042175200000001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70.885799259999999</v>
      </c>
      <c r="F20" s="16">
        <v>2.6244300100000002</v>
      </c>
      <c r="G20" s="14">
        <v>29.114200740000001</v>
      </c>
      <c r="H20" s="16">
        <v>2.6244300100000002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66.847801849999996</v>
      </c>
      <c r="F22" s="16">
        <v>1.8972550800000001</v>
      </c>
      <c r="G22" s="14">
        <v>33.152198149999997</v>
      </c>
      <c r="H22" s="16">
        <v>1.8972550800000001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58.46736765</v>
      </c>
      <c r="F23" s="16">
        <v>2.43074652</v>
      </c>
      <c r="G23" s="14">
        <v>41.53263235</v>
      </c>
      <c r="H23" s="16">
        <v>2.43074652</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72.850751360000004</v>
      </c>
      <c r="F24" s="16">
        <v>1.63809793</v>
      </c>
      <c r="G24" s="14">
        <v>27.14924864</v>
      </c>
      <c r="H24" s="16">
        <v>1.63809793</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2419</v>
      </c>
      <c r="C26" s="14">
        <f>(1989/B26*100)</f>
        <v>82.224059528730876</v>
      </c>
      <c r="D26" s="15">
        <v>430</v>
      </c>
      <c r="E26" s="14">
        <v>59.763050419999999</v>
      </c>
      <c r="F26" s="16">
        <v>2.3883033999999999</v>
      </c>
      <c r="G26" s="14">
        <v>40.236949580000001</v>
      </c>
      <c r="H26" s="16">
        <v>2.3883033999999999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(2204/B27*100)</f>
        <v>82.146850540439814</v>
      </c>
      <c r="D27" s="15">
        <v>479</v>
      </c>
      <c r="E27" s="14">
        <v>67.233983780000003</v>
      </c>
      <c r="F27" s="16">
        <v>1.9610868299999999</v>
      </c>
      <c r="G27" s="14">
        <v>32.766016219999997</v>
      </c>
      <c r="H27" s="16">
        <v>1.9610868299999999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(3165/B28*100)</f>
        <v>83.223770707336314</v>
      </c>
      <c r="D28" s="15">
        <v>638</v>
      </c>
      <c r="E28" s="14">
        <v>63.824201010000003</v>
      </c>
      <c r="F28" s="16">
        <v>1.9115613899999999</v>
      </c>
      <c r="G28" s="14">
        <v>36.175798989999997</v>
      </c>
      <c r="H28" s="16">
        <v>1.9115613899999999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53.854817689999997</v>
      </c>
      <c r="F29" s="16">
        <v>2.1606590300000001</v>
      </c>
      <c r="G29" s="14">
        <v>46.145182310000003</v>
      </c>
      <c r="H29" s="16">
        <v>2.1606590300000001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60.202344160000003</v>
      </c>
      <c r="F30" s="16">
        <v>2.5495448500000002</v>
      </c>
      <c r="G30" s="14">
        <v>39.797655839999997</v>
      </c>
      <c r="H30" s="16">
        <v>2.5495448500000002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63.823574950000001</v>
      </c>
      <c r="F31" s="16">
        <v>2.32024388</v>
      </c>
      <c r="G31" s="14">
        <v>36.176425049999999</v>
      </c>
      <c r="H31" s="16">
        <v>2.32024388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(3029/B33*100)</f>
        <v>82.963571624212534</v>
      </c>
      <c r="D33" s="15">
        <v>622</v>
      </c>
      <c r="E33" s="14">
        <v>59.75284327</v>
      </c>
      <c r="F33" s="16">
        <v>2.23436251</v>
      </c>
      <c r="G33" s="14">
        <v>40.24715673</v>
      </c>
      <c r="H33" s="16">
        <v>2.23436251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(2532/B34*100)</f>
        <v>83.426688632619445</v>
      </c>
      <c r="D34" s="15">
        <v>503</v>
      </c>
      <c r="E34" s="14">
        <v>75.931464460000001</v>
      </c>
      <c r="F34" s="16">
        <v>1.9121717300000001</v>
      </c>
      <c r="G34" s="14">
        <v>24.068535539999999</v>
      </c>
      <c r="H34" s="16">
        <v>1.9121717300000001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65.658722510000004</v>
      </c>
      <c r="F35" s="16">
        <v>2.4952396600000002</v>
      </c>
      <c r="G35" s="14">
        <v>34.341277490000003</v>
      </c>
      <c r="H35" s="16">
        <v>2.4952396600000002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43.487199459999999</v>
      </c>
      <c r="F36" s="16">
        <v>2.49285435</v>
      </c>
      <c r="G36" s="14">
        <v>56.512800540000001</v>
      </c>
      <c r="H36" s="16">
        <v>2.49285435</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65.863713149999995</v>
      </c>
      <c r="F37" s="16">
        <v>2.02371664</v>
      </c>
      <c r="G37" s="14">
        <v>34.136286849999998</v>
      </c>
      <c r="H37" s="16">
        <v>2.02371664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78.177536059999994</v>
      </c>
      <c r="F39" s="16">
        <v>1.8267757499999999</v>
      </c>
      <c r="G39" s="14">
        <v>21.822463939999999</v>
      </c>
      <c r="H39" s="16">
        <v>1.8267757499999999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(5729/B40*100)</f>
        <v>82.765096792834441</v>
      </c>
      <c r="D40" s="15">
        <v>1193</v>
      </c>
      <c r="E40" s="14">
        <v>50.373503599999999</v>
      </c>
      <c r="F40" s="16">
        <v>2.3649162100000001</v>
      </c>
      <c r="G40" s="14">
        <v>49.626496400000001</v>
      </c>
      <c r="H40" s="16">
        <v>2.3649162100000001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(2347/B41*100)</f>
        <v>82.235459004905394</v>
      </c>
      <c r="D41" s="15">
        <v>507</v>
      </c>
      <c r="E41" s="14">
        <v>48.499278390000001</v>
      </c>
      <c r="F41" s="16">
        <v>2.1740299699999999</v>
      </c>
      <c r="G41" s="14">
        <v>51.500721609999999</v>
      </c>
      <c r="H41" s="16">
        <v>2.1740299699999999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82.89925576191095</v>
      </c>
      <c r="D42" s="15">
        <f>IF(COUNT(D7:D41) &gt; 0, AVERAGE(D7:D41), "—")</f>
        <v>617.75</v>
      </c>
      <c r="E42" s="14">
        <f>IF(COUNT(E7:E41) &gt; 0, AVERAGE(E7:E41), "—")</f>
        <v>58.866812817499998</v>
      </c>
      <c r="F42" s="16">
        <f>IF(COUNT(F7:F41) &gt; 0, SQRT(SUMSQ(F7:F41)/(COUNT(F7:F41)*COUNT(F7:F41)) ), "—")</f>
        <v>0.37739821217342351</v>
      </c>
      <c r="G42" s="14">
        <f>IF(COUNT(G7:G41) &gt; 0, AVERAGE(G7:G41), "—")</f>
        <v>38.008187182500002</v>
      </c>
      <c r="H42" s="16">
        <f>IF(COUNT(H7:H41) &gt; 0, SQRT(SUMSQ(H7:H41)/(COUNT(H7:H41)*COUNT(H7:H41)) ), "—")</f>
        <v>0.37739821217342351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(10240/B46*100)</f>
        <v>84.817361053590659</v>
      </c>
      <c r="D46" s="15">
        <v>1833</v>
      </c>
      <c r="E46" s="14">
        <v>65.522522670000001</v>
      </c>
      <c r="F46" s="16">
        <v>1.3921405899999999</v>
      </c>
      <c r="G46" s="14">
        <v>34.477477329999999</v>
      </c>
      <c r="H46" s="16">
        <v>1.3921405899999999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(2329/B47*100)</f>
        <v>82.500885582713423</v>
      </c>
      <c r="D47" s="15">
        <v>494</v>
      </c>
      <c r="E47" s="14">
        <v>71.03547571</v>
      </c>
      <c r="F47" s="16">
        <v>2.10021842</v>
      </c>
      <c r="G47" s="14">
        <v>28.96452429</v>
      </c>
      <c r="H47" s="16">
        <v>2.10021842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67.090596439999999</v>
      </c>
      <c r="F48" s="16">
        <v>2.6320556499999999</v>
      </c>
      <c r="G48" s="14">
        <v>32.909403560000001</v>
      </c>
      <c r="H48" s="16">
        <v>2.6320556499999999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60.581249270000001</v>
      </c>
      <c r="F50" s="16">
        <v>2.06042865</v>
      </c>
      <c r="G50" s="14">
        <v>39.418750729999999</v>
      </c>
      <c r="H50" s="16">
        <v>2.06042865</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(2975/B51*100)</f>
        <v>85.145964510589579</v>
      </c>
      <c r="D51" s="15">
        <v>519</v>
      </c>
      <c r="E51" s="14">
        <v>65.343473700000004</v>
      </c>
      <c r="F51" s="16">
        <v>1.9619480600000001</v>
      </c>
      <c r="G51" s="14">
        <v>34.656526300000003</v>
      </c>
      <c r="H51" s="16">
        <v>1.9619480600000001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(2494/B52*100)</f>
        <v>82.774643212744763</v>
      </c>
      <c r="D52" s="15">
        <v>519</v>
      </c>
      <c r="E52" s="14">
        <v>55.10266283</v>
      </c>
      <c r="F52" s="16">
        <v>2.0074560099999998</v>
      </c>
      <c r="G52" s="14">
        <v>44.89733717</v>
      </c>
      <c r="H52" s="16">
        <v>2.0074560099999998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(2302/B53*100)</f>
        <v>83.405797101449281</v>
      </c>
      <c r="D53" s="15">
        <v>458</v>
      </c>
      <c r="E53" s="14">
        <v>61.699191519999999</v>
      </c>
      <c r="F53" s="16">
        <v>2.23667756</v>
      </c>
      <c r="G53" s="14">
        <v>38.300808480000001</v>
      </c>
      <c r="H53" s="16">
        <v>2.23667756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(2208/B56*100)</f>
        <v>82.54205607476635</v>
      </c>
      <c r="D56" s="15">
        <v>467</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71.721391449999999</v>
      </c>
      <c r="F61" s="16">
        <v>2.3725636400000001</v>
      </c>
      <c r="G61" s="14">
        <v>28.278608550000001</v>
      </c>
      <c r="H61" s="16">
        <v>2.3725636400000001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11.79994958</v>
      </c>
      <c r="F62" s="16">
        <v>1.8294409599999999</v>
      </c>
      <c r="G62" s="14">
        <v>4.8169663700000003</v>
      </c>
      <c r="H62" s="16">
        <v>1.1641321099999999</v>
      </c>
      <c r="I62" s="14" t="s">
        <v>139</v>
      </c>
      <c r="J62" s="16" t="s">
        <v>139</v>
      </c>
      <c r="K62" s="14">
        <v>0</v>
      </c>
      <c r="L62" s="16">
        <v>0</v>
      </c>
      <c r="M62" s="14">
        <v>83.383084060000002</v>
      </c>
      <c r="N62" s="16">
        <v>2.1304655100000001</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(2284/B66*100)</f>
        <v>82.425117286178278</v>
      </c>
      <c r="D66" s="15">
        <v>487</v>
      </c>
      <c r="E66" s="14">
        <v>66.625140619999996</v>
      </c>
      <c r="F66" s="16">
        <v>2.0788566500000001</v>
      </c>
      <c r="G66" s="14">
        <v>33.374859379999997</v>
      </c>
      <c r="H66" s="16">
        <v>2.0788566500000001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(2920/B67*100)</f>
        <v>84.393063583815035</v>
      </c>
      <c r="D67" s="15">
        <v>540</v>
      </c>
      <c r="E67" s="14">
        <v>66.091336060000003</v>
      </c>
      <c r="F67" s="16">
        <v>2.0434046800000001</v>
      </c>
      <c r="G67" s="14">
        <v>33.908663939999997</v>
      </c>
      <c r="H67" s="16">
        <v>2.0434046800000001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75.472606049999996</v>
      </c>
      <c r="F70" s="16">
        <v>2.3467673699999998</v>
      </c>
      <c r="G70" s="14">
        <v>24.52739395</v>
      </c>
      <c r="H70" s="16">
        <v>2.3467673699999998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(3156/B72*100)</f>
        <v>82.639434406912798</v>
      </c>
      <c r="D72" s="15">
        <v>663</v>
      </c>
      <c r="E72" s="14">
        <v>77.150106370000003</v>
      </c>
      <c r="F72" s="16">
        <v>1.71735723</v>
      </c>
      <c r="G72" s="14">
        <v>22.84989363</v>
      </c>
      <c r="H72" s="16">
        <v>1.71735723</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76.003397250000006</v>
      </c>
      <c r="F73" s="16">
        <v>1.77541832</v>
      </c>
      <c r="G73" s="14">
        <v>23.996602750000001</v>
      </c>
      <c r="H73" s="16">
        <v>1.77541832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(2501/B75*100)</f>
        <v>84.237116874368482</v>
      </c>
      <c r="D75" s="15">
        <v>468</v>
      </c>
      <c r="E75" s="14">
        <v>79.300631629999998</v>
      </c>
      <c r="F75" s="16">
        <v>1.5983676499999999</v>
      </c>
      <c r="G75" s="14">
        <v>20.699368369999998</v>
      </c>
      <c r="H75" s="16">
        <v>1.5983676499999999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65.726617660000002</v>
      </c>
      <c r="F76" s="16">
        <v>1.61754825</v>
      </c>
      <c r="G76" s="14">
        <v>34.273382339999998</v>
      </c>
      <c r="H76" s="16">
        <v>1.61754825</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(2607/B77*100)</f>
        <v>82.656943563728603</v>
      </c>
      <c r="D77" s="15">
        <v>547</v>
      </c>
      <c r="E77" s="14">
        <v>53.74891968</v>
      </c>
      <c r="F77" s="16">
        <v>2.0083853899999999</v>
      </c>
      <c r="G77" s="14">
        <v>46.25108032</v>
      </c>
      <c r="H77" s="16">
        <v>2.0083853899999999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(3893/B81*100)</f>
        <v>82.865048957002983</v>
      </c>
      <c r="D81" s="15">
        <v>805</v>
      </c>
      <c r="E81" s="14">
        <v>63.205030950000001</v>
      </c>
      <c r="F81" s="16">
        <v>2.1594859199999998</v>
      </c>
      <c r="G81" s="14">
        <v>36.794969049999999</v>
      </c>
      <c r="H81" s="16">
        <v>2.1594859199999998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(5918/B7*100)</f>
        <v>82.619014379449951</v>
      </c>
      <c r="D7" s="15">
        <v>1245</v>
      </c>
      <c r="E7" s="14">
        <v>40.186394530000001</v>
      </c>
      <c r="F7" s="16">
        <v>1.5333350800000001</v>
      </c>
      <c r="G7" s="14">
        <v>59.813605469999999</v>
      </c>
      <c r="H7" s="16">
        <v>1.5333350800000001</v>
      </c>
      <c r="I7" s="14" t="s">
        <v>139</v>
      </c>
      <c r="J7" s="16" t="s">
        <v>139</v>
      </c>
      <c r="K7" s="14">
        <v>0</v>
      </c>
      <c r="L7" s="16">
        <v>0</v>
      </c>
      <c r="M7" s="14">
        <v>0</v>
      </c>
      <c r="N7" s="16">
        <v>0</v>
      </c>
      <c r="O7" s="14">
        <v>0</v>
      </c>
      <c r="P7" s="16">
        <v>0</v>
      </c>
      <c r="Q7" s="14">
        <v>0</v>
      </c>
      <c r="R7" s="16">
        <v>0</v>
      </c>
    </row>
    <row r="8" spans="1:18" x14ac:dyDescent="0.25">
      <c r="A8" s="11" t="s">
        <v>140</v>
      </c>
      <c r="B8" s="13">
        <v>3443</v>
      </c>
      <c r="C8" s="14">
        <f>(2828/B8*100)</f>
        <v>82.137670636073196</v>
      </c>
      <c r="D8" s="15">
        <v>615</v>
      </c>
      <c r="E8" s="14">
        <v>41.325927999999998</v>
      </c>
      <c r="F8" s="16">
        <v>2.2118098499999999</v>
      </c>
      <c r="G8" s="14">
        <v>58.674072000000002</v>
      </c>
      <c r="H8" s="16">
        <v>2.2118098499999999</v>
      </c>
      <c r="I8" s="14" t="s">
        <v>139</v>
      </c>
      <c r="J8" s="16" t="s">
        <v>139</v>
      </c>
      <c r="K8" s="14">
        <v>0</v>
      </c>
      <c r="L8" s="16">
        <v>0</v>
      </c>
      <c r="M8" s="14">
        <v>0</v>
      </c>
      <c r="N8" s="16">
        <v>0</v>
      </c>
      <c r="O8" s="14">
        <v>0</v>
      </c>
      <c r="P8" s="16">
        <v>0</v>
      </c>
      <c r="Q8" s="14">
        <v>0</v>
      </c>
      <c r="R8" s="16">
        <v>0</v>
      </c>
    </row>
    <row r="9" spans="1:18" x14ac:dyDescent="0.25">
      <c r="A9" s="11" t="s">
        <v>141</v>
      </c>
      <c r="B9" s="13">
        <v>4752</v>
      </c>
      <c r="C9" s="14">
        <f>(3964/B9*100)</f>
        <v>83.417508417508415</v>
      </c>
      <c r="D9" s="15">
        <v>788</v>
      </c>
      <c r="E9" s="14">
        <v>47.155620079999998</v>
      </c>
      <c r="F9" s="16">
        <v>1.88304961</v>
      </c>
      <c r="G9" s="14">
        <v>52.844379920000002</v>
      </c>
      <c r="H9" s="16">
        <v>1.88304961</v>
      </c>
      <c r="I9" s="14" t="s">
        <v>139</v>
      </c>
      <c r="J9" s="16" t="s">
        <v>139</v>
      </c>
      <c r="K9" s="14">
        <v>0</v>
      </c>
      <c r="L9" s="16">
        <v>0</v>
      </c>
      <c r="M9" s="14">
        <v>0</v>
      </c>
      <c r="N9" s="16">
        <v>0</v>
      </c>
      <c r="O9" s="14">
        <v>0</v>
      </c>
      <c r="P9" s="16">
        <v>0</v>
      </c>
      <c r="Q9" s="14">
        <v>0</v>
      </c>
      <c r="R9" s="16">
        <v>0</v>
      </c>
    </row>
    <row r="10" spans="1:18" x14ac:dyDescent="0.25">
      <c r="A10" s="11" t="s">
        <v>142</v>
      </c>
      <c r="B10" s="13">
        <v>10022</v>
      </c>
      <c r="C10" s="14">
        <f>(8301/B10*100)</f>
        <v>82.827778886449806</v>
      </c>
      <c r="D10" s="15">
        <v>1721</v>
      </c>
      <c r="E10" s="14">
        <v>46.56483523</v>
      </c>
      <c r="F10" s="16">
        <v>1.7200051999999999</v>
      </c>
      <c r="G10" s="14">
        <v>53.43516477</v>
      </c>
      <c r="H10" s="16">
        <v>1.7200051999999999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(2886/B11*100)</f>
        <v>82.457142857142856</v>
      </c>
      <c r="D11" s="15">
        <v>614</v>
      </c>
      <c r="E11" s="14">
        <v>44.555525240000001</v>
      </c>
      <c r="F11" s="16">
        <v>2.20616952</v>
      </c>
      <c r="G11" s="14">
        <v>55.444474759999999</v>
      </c>
      <c r="H11" s="16">
        <v>2.20616952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(2863/B12*100)</f>
        <v>83.664523670368212</v>
      </c>
      <c r="D12" s="15">
        <v>559</v>
      </c>
      <c r="E12" s="14">
        <v>46.601191909999997</v>
      </c>
      <c r="F12" s="16">
        <v>2.4652103599999999</v>
      </c>
      <c r="G12" s="14">
        <v>53.398808090000003</v>
      </c>
      <c r="H12" s="16">
        <v>2.4652103599999999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(3001/B13*100)</f>
        <v>83.314825097168239</v>
      </c>
      <c r="D13" s="15">
        <v>601</v>
      </c>
      <c r="E13" s="14">
        <v>38.216392910000003</v>
      </c>
      <c r="F13" s="16">
        <v>2.3948892599999998</v>
      </c>
      <c r="G13" s="14">
        <v>61.783607089999997</v>
      </c>
      <c r="H13" s="16">
        <v>2.3948892599999998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(2307/B14*100)</f>
        <v>82.747489239598281</v>
      </c>
      <c r="D14" s="15">
        <v>481</v>
      </c>
      <c r="E14" s="14">
        <v>44.83415634</v>
      </c>
      <c r="F14" s="16">
        <v>2.5270150299999998</v>
      </c>
      <c r="G14" s="14">
        <v>55.16584366</v>
      </c>
      <c r="H14" s="16">
        <v>2.5270150299999998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(2363/B15*100)</f>
        <v>82.535801606706244</v>
      </c>
      <c r="D15" s="15">
        <v>500</v>
      </c>
      <c r="E15" s="14">
        <v>35.689166819999997</v>
      </c>
      <c r="F15" s="16">
        <v>2.1616645499999998</v>
      </c>
      <c r="G15" s="14">
        <v>64.310833180000003</v>
      </c>
      <c r="H15" s="16">
        <v>2.1616645499999998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(2568/B16*100)</f>
        <v>82.54580520732884</v>
      </c>
      <c r="D16" s="15">
        <v>543</v>
      </c>
      <c r="E16" s="14">
        <v>49.699779939999999</v>
      </c>
      <c r="F16" s="16">
        <v>2.3404760200000001</v>
      </c>
      <c r="G16" s="14">
        <v>50.300220060000001</v>
      </c>
      <c r="H16" s="16">
        <v>2.3404760200000001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(2621/B17*100)</f>
        <v>81.983109164842034</v>
      </c>
      <c r="D17" s="15">
        <v>576</v>
      </c>
      <c r="E17" s="14">
        <v>42.56878717</v>
      </c>
      <c r="F17" s="16">
        <v>2.1781962099999999</v>
      </c>
      <c r="G17" s="14">
        <v>57.43121283</v>
      </c>
      <c r="H17" s="16">
        <v>2.1781962099999999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(2233/B18*100)</f>
        <v>82.520325203252028</v>
      </c>
      <c r="D18" s="15">
        <v>473</v>
      </c>
      <c r="E18" s="14">
        <v>50.46141557</v>
      </c>
      <c r="F18" s="16">
        <v>2.0555920799999998</v>
      </c>
      <c r="G18" s="14">
        <v>49.53858443</v>
      </c>
      <c r="H18" s="16">
        <v>2.0555920799999998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48.658198040000002</v>
      </c>
      <c r="F19" s="16">
        <v>2.1736892000000001</v>
      </c>
      <c r="G19" s="14">
        <v>51.341801959999998</v>
      </c>
      <c r="H19" s="16">
        <v>2.1736892000000001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(1441/B20*100)</f>
        <v>82.76852383687536</v>
      </c>
      <c r="D20" s="15">
        <v>300</v>
      </c>
      <c r="E20" s="14">
        <v>41.221199919999997</v>
      </c>
      <c r="F20" s="16">
        <v>2.5906604099999999</v>
      </c>
      <c r="G20" s="14">
        <v>58.778800080000003</v>
      </c>
      <c r="H20" s="16">
        <v>2.5906604099999999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(3132/B22*100)</f>
        <v>85.410417234796824</v>
      </c>
      <c r="D22" s="15">
        <v>535</v>
      </c>
      <c r="E22" s="14">
        <v>48.253769310000003</v>
      </c>
      <c r="F22" s="16">
        <v>2.1712420699999999</v>
      </c>
      <c r="G22" s="14">
        <v>51.746230689999997</v>
      </c>
      <c r="H22" s="16">
        <v>2.1712420699999999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(4794/B23*100)</f>
        <v>82.769337016574582</v>
      </c>
      <c r="D23" s="15">
        <v>998</v>
      </c>
      <c r="E23" s="14">
        <v>48.519452770000001</v>
      </c>
      <c r="F23" s="16">
        <v>2.38785391</v>
      </c>
      <c r="G23" s="14">
        <v>51.480547229999999</v>
      </c>
      <c r="H23" s="16">
        <v>2.38785391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38.80064711</v>
      </c>
      <c r="F24" s="16">
        <v>2.1243506700000001</v>
      </c>
      <c r="G24" s="14">
        <v>61.19935289</v>
      </c>
      <c r="H24" s="16">
        <v>2.1243506700000001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25.699462759999999</v>
      </c>
      <c r="F25" s="16">
        <v>1.78126549</v>
      </c>
      <c r="G25" s="14">
        <v>74.300537239999997</v>
      </c>
      <c r="H25" s="16">
        <v>1.78126549</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46.2738741</v>
      </c>
      <c r="F26" s="16">
        <v>2.5543366399999998</v>
      </c>
      <c r="G26" s="14">
        <v>53.7261259</v>
      </c>
      <c r="H26" s="16">
        <v>2.5543366399999998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(2204/B27*100)</f>
        <v>82.146850540439814</v>
      </c>
      <c r="D27" s="15">
        <v>479</v>
      </c>
      <c r="E27" s="14">
        <v>51.36149588</v>
      </c>
      <c r="F27" s="16">
        <v>2.49137488</v>
      </c>
      <c r="G27" s="14">
        <v>48.63850412</v>
      </c>
      <c r="H27" s="16">
        <v>2.49137488</v>
      </c>
      <c r="I27" s="14" t="s">
        <v>139</v>
      </c>
      <c r="J27" s="16" t="s">
        <v>139</v>
      </c>
      <c r="K27" s="14">
        <v>0</v>
      </c>
      <c r="L27" s="16">
        <v>0</v>
      </c>
      <c r="M27" s="14">
        <v>0</v>
      </c>
      <c r="N27" s="16">
        <v>0</v>
      </c>
      <c r="O27" s="14">
        <v>0</v>
      </c>
      <c r="P27" s="16">
        <v>0</v>
      </c>
      <c r="Q27" s="14">
        <v>0</v>
      </c>
      <c r="R27" s="16">
        <v>0</v>
      </c>
    </row>
    <row r="28" spans="1:18" x14ac:dyDescent="0.25">
      <c r="A28" s="11" t="s">
        <v>161</v>
      </c>
      <c r="B28" s="13">
        <v>3803</v>
      </c>
      <c r="C28" s="14">
        <f>(3165/B28*100)</f>
        <v>83.223770707336314</v>
      </c>
      <c r="D28" s="15">
        <v>638</v>
      </c>
      <c r="E28" s="14">
        <v>54.746393189999999</v>
      </c>
      <c r="F28" s="16">
        <v>2.26916465</v>
      </c>
      <c r="G28" s="14">
        <v>45.253606810000001</v>
      </c>
      <c r="H28" s="16">
        <v>2.26916465</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44.078529699999997</v>
      </c>
      <c r="F29" s="16">
        <v>2.3199557899999999</v>
      </c>
      <c r="G29" s="14">
        <v>55.921470300000003</v>
      </c>
      <c r="H29" s="16">
        <v>2.3199557899999999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(1896/B30*100)</f>
        <v>84.005316792202038</v>
      </c>
      <c r="D30" s="15">
        <v>361</v>
      </c>
      <c r="E30" s="14">
        <v>46.377011959999997</v>
      </c>
      <c r="F30" s="16">
        <v>2.3503840500000002</v>
      </c>
      <c r="G30" s="14">
        <v>53.622988040000003</v>
      </c>
      <c r="H30" s="16">
        <v>2.3503840500000002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(2242/B31*100)</f>
        <v>82.852919438285284</v>
      </c>
      <c r="D31" s="15">
        <v>464</v>
      </c>
      <c r="E31" s="14">
        <v>44.813917000000004</v>
      </c>
      <c r="F31" s="16">
        <v>2.3660710200000001</v>
      </c>
      <c r="G31" s="14">
        <v>55.186083000000004</v>
      </c>
      <c r="H31" s="16">
        <v>2.3660710200000001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(3029/B33*100)</f>
        <v>82.963571624212534</v>
      </c>
      <c r="D33" s="15">
        <v>622</v>
      </c>
      <c r="E33" s="14">
        <v>41.596172230000001</v>
      </c>
      <c r="F33" s="16">
        <v>2.25138675</v>
      </c>
      <c r="G33" s="14">
        <v>58.403827769999999</v>
      </c>
      <c r="H33" s="16">
        <v>2.25138675</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(2532/B34*100)</f>
        <v>83.426688632619445</v>
      </c>
      <c r="D34" s="15">
        <v>503</v>
      </c>
      <c r="E34" s="14">
        <v>59.66161975</v>
      </c>
      <c r="F34" s="16">
        <v>2.1264438600000002</v>
      </c>
      <c r="G34" s="14">
        <v>40.33838025</v>
      </c>
      <c r="H34" s="16">
        <v>2.1264438600000002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47.219743909999998</v>
      </c>
      <c r="F35" s="16">
        <v>2.9362526899999999</v>
      </c>
      <c r="G35" s="14">
        <v>52.780256090000002</v>
      </c>
      <c r="H35" s="16">
        <v>2.9362526899999999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(2829/B36*100)</f>
        <v>83.108108108108098</v>
      </c>
      <c r="D36" s="15">
        <v>575</v>
      </c>
      <c r="E36" s="14">
        <v>46.591492539999997</v>
      </c>
      <c r="F36" s="16">
        <v>2.0418875000000001</v>
      </c>
      <c r="G36" s="14">
        <v>53.408507460000003</v>
      </c>
      <c r="H36" s="16">
        <v>2.0418875000000001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(2261/B37*100)</f>
        <v>82.790186744782133</v>
      </c>
      <c r="D37" s="15">
        <v>470</v>
      </c>
      <c r="E37" s="14">
        <v>43.359320699999998</v>
      </c>
      <c r="F37" s="16">
        <v>2.5159674000000001</v>
      </c>
      <c r="G37" s="14">
        <v>56.640679300000002</v>
      </c>
      <c r="H37" s="16">
        <v>2.5159674000000001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42.61037262</v>
      </c>
      <c r="F39" s="16">
        <v>2.8895085200000001</v>
      </c>
      <c r="G39" s="14">
        <v>57.38962738</v>
      </c>
      <c r="H39" s="16">
        <v>2.8895085200000001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(5729/B40*100)</f>
        <v>82.765096792834441</v>
      </c>
      <c r="D40" s="15">
        <v>1193</v>
      </c>
      <c r="E40" s="14">
        <v>48.10176354</v>
      </c>
      <c r="F40" s="16">
        <v>2.0788428400000001</v>
      </c>
      <c r="G40" s="14">
        <v>51.89823646</v>
      </c>
      <c r="H40" s="16">
        <v>2.0788428400000001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(2347/B41*100)</f>
        <v>82.235459004905394</v>
      </c>
      <c r="D41" s="15">
        <v>507</v>
      </c>
      <c r="E41" s="14">
        <v>43.390499650000002</v>
      </c>
      <c r="F41" s="16">
        <v>2.1629189499999999</v>
      </c>
      <c r="G41" s="14">
        <v>56.609500349999998</v>
      </c>
      <c r="H41" s="16">
        <v>2.1629189499999999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82.89925576191095</v>
      </c>
      <c r="D42" s="15">
        <f>IF(COUNT(D7:D41) &gt; 0, AVERAGE(D7:D41), "—")</f>
        <v>617.75</v>
      </c>
      <c r="E42" s="14">
        <f>IF(COUNT(E7:E41) &gt; 0, AVERAGE(E7:E41), "—")</f>
        <v>44.974816575625006</v>
      </c>
      <c r="F42" s="16">
        <f>IF(COUNT(F7:F41) &gt; 0, SQRT(SUMSQ(F7:F41)/(COUNT(F7:F41)*COUNT(F7:F41)) ), "—")</f>
        <v>0.40252895273694311</v>
      </c>
      <c r="G42" s="14">
        <f>IF(COUNT(G7:G41) &gt; 0, AVERAGE(G7:G41), "—")</f>
        <v>55.025183424375008</v>
      </c>
      <c r="H42" s="16">
        <f>IF(COUNT(H7:H41) &gt; 0, SQRT(SUMSQ(H7:H41)/(COUNT(H7:H41)*COUNT(H7:H41)) ), "—")</f>
        <v>0.40252895273694311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(10240/B46*100)</f>
        <v>84.817361053590659</v>
      </c>
      <c r="D46" s="15">
        <v>1833</v>
      </c>
      <c r="E46" s="14">
        <v>53.67536999</v>
      </c>
      <c r="F46" s="16">
        <v>1.341693</v>
      </c>
      <c r="G46" s="14">
        <v>46.32463001</v>
      </c>
      <c r="H46" s="16">
        <v>1.341693</v>
      </c>
      <c r="I46" s="14" t="s">
        <v>139</v>
      </c>
      <c r="J46" s="16" t="s">
        <v>139</v>
      </c>
      <c r="K46" s="14">
        <v>0</v>
      </c>
      <c r="L46" s="16">
        <v>0</v>
      </c>
      <c r="M46" s="14">
        <v>0</v>
      </c>
      <c r="N46" s="16">
        <v>0</v>
      </c>
      <c r="O46" s="14">
        <v>0</v>
      </c>
      <c r="P46" s="16">
        <v>0</v>
      </c>
      <c r="Q46" s="14">
        <v>0</v>
      </c>
      <c r="R46" s="16">
        <v>0</v>
      </c>
    </row>
    <row r="47" spans="1:18" x14ac:dyDescent="0.25">
      <c r="A47" s="11" t="s">
        <v>180</v>
      </c>
      <c r="B47" s="13">
        <v>2823</v>
      </c>
      <c r="C47" s="14">
        <f>(2329/B47*100)</f>
        <v>82.500885582713423</v>
      </c>
      <c r="D47" s="15">
        <v>494</v>
      </c>
      <c r="E47" s="14">
        <v>54.0344433</v>
      </c>
      <c r="F47" s="16">
        <v>1.9609255000000001</v>
      </c>
      <c r="G47" s="14">
        <v>45.9655567</v>
      </c>
      <c r="H47" s="16">
        <v>1.9609255000000001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(3883/B48*100)</f>
        <v>82.934643314822722</v>
      </c>
      <c r="D48" s="15">
        <v>799</v>
      </c>
      <c r="E48" s="14">
        <v>30.047560579999999</v>
      </c>
      <c r="F48" s="16">
        <v>1.9834137000000001</v>
      </c>
      <c r="G48" s="14">
        <v>69.952439420000005</v>
      </c>
      <c r="H48" s="16">
        <v>1.9834137000000001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(5118/B50*100)</f>
        <v>83.111399805131541</v>
      </c>
      <c r="D50" s="15">
        <v>1040</v>
      </c>
      <c r="E50" s="14">
        <v>49.675281040000002</v>
      </c>
      <c r="F50" s="16">
        <v>1.7758352900000001</v>
      </c>
      <c r="G50" s="14">
        <v>50.324718959999998</v>
      </c>
      <c r="H50" s="16">
        <v>1.7758352900000001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(2975/B51*100)</f>
        <v>85.145964510589579</v>
      </c>
      <c r="D51" s="15">
        <v>519</v>
      </c>
      <c r="E51" s="14">
        <v>46.905091540000001</v>
      </c>
      <c r="F51" s="16">
        <v>2.5433825300000001</v>
      </c>
      <c r="G51" s="14">
        <v>53.094908459999999</v>
      </c>
      <c r="H51" s="16">
        <v>2.5433825300000001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(2494/B52*100)</f>
        <v>82.774643212744763</v>
      </c>
      <c r="D52" s="15">
        <v>519</v>
      </c>
      <c r="E52" s="14">
        <v>50.776831369999996</v>
      </c>
      <c r="F52" s="16">
        <v>1.9156551799999999</v>
      </c>
      <c r="G52" s="14">
        <v>49.223168630000004</v>
      </c>
      <c r="H52" s="16">
        <v>1.9156551799999999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(2302/B53*100)</f>
        <v>83.405797101449281</v>
      </c>
      <c r="D53" s="15">
        <v>458</v>
      </c>
      <c r="E53" s="14">
        <v>47.85465224</v>
      </c>
      <c r="F53" s="16">
        <v>2.4249608600000001</v>
      </c>
      <c r="G53" s="14">
        <v>52.14534776</v>
      </c>
      <c r="H53" s="16">
        <v>2.4249608600000001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(2208/B56*100)</f>
        <v>82.54205607476635</v>
      </c>
      <c r="D56" s="15">
        <v>467</v>
      </c>
      <c r="E56" s="14">
        <v>29.22596296</v>
      </c>
      <c r="F56" s="16">
        <v>1.8678323400000001</v>
      </c>
      <c r="G56" s="14">
        <v>70.774037039999996</v>
      </c>
      <c r="H56" s="16">
        <v>1.8678323400000001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(2645/B61*100)</f>
        <v>82.630427991252731</v>
      </c>
      <c r="D61" s="15">
        <v>556</v>
      </c>
      <c r="E61" s="14">
        <v>41.809077889999998</v>
      </c>
      <c r="F61" s="16">
        <v>1.92043842</v>
      </c>
      <c r="G61" s="14">
        <v>58.190922110000002</v>
      </c>
      <c r="H61" s="16">
        <v>1.92043842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(1856/B62*100)</f>
        <v>83.228699551569505</v>
      </c>
      <c r="D62" s="15">
        <v>374</v>
      </c>
      <c r="E62" s="14">
        <v>33.222464819999999</v>
      </c>
      <c r="F62" s="16">
        <v>2.4321628</v>
      </c>
      <c r="G62" s="14">
        <v>66.777535180000001</v>
      </c>
      <c r="H62" s="16">
        <v>2.4321628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(2284/B66*100)</f>
        <v>82.425117286178278</v>
      </c>
      <c r="D66" s="15">
        <v>487</v>
      </c>
      <c r="E66" s="14">
        <v>51.615974860000001</v>
      </c>
      <c r="F66" s="16">
        <v>2.46646133</v>
      </c>
      <c r="G66" s="14">
        <v>48.384025139999999</v>
      </c>
      <c r="H66" s="16">
        <v>2.46646133</v>
      </c>
      <c r="I66" s="14" t="s">
        <v>139</v>
      </c>
      <c r="J66" s="16" t="s">
        <v>139</v>
      </c>
      <c r="K66" s="14">
        <v>0</v>
      </c>
      <c r="L66" s="16">
        <v>0</v>
      </c>
      <c r="M66" s="14">
        <v>0</v>
      </c>
      <c r="N66" s="16">
        <v>0</v>
      </c>
      <c r="O66" s="14">
        <v>0</v>
      </c>
      <c r="P66" s="16">
        <v>0</v>
      </c>
      <c r="Q66" s="14">
        <v>0</v>
      </c>
      <c r="R66" s="16">
        <v>0</v>
      </c>
    </row>
    <row r="67" spans="1:18" x14ac:dyDescent="0.25">
      <c r="A67" s="11" t="s">
        <v>200</v>
      </c>
      <c r="B67" s="13">
        <v>3460</v>
      </c>
      <c r="C67" s="14">
        <f>(2920/B67*100)</f>
        <v>84.393063583815035</v>
      </c>
      <c r="D67" s="15">
        <v>540</v>
      </c>
      <c r="E67" s="14">
        <v>53.001734919999997</v>
      </c>
      <c r="F67" s="16">
        <v>2.2989298800000002</v>
      </c>
      <c r="G67" s="14">
        <v>46.998265080000003</v>
      </c>
      <c r="H67" s="16">
        <v>2.2989298800000002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(2562/B70*100)</f>
        <v>82.458963630511747</v>
      </c>
      <c r="D70" s="15">
        <v>545</v>
      </c>
      <c r="E70" s="14">
        <v>49.209194420000003</v>
      </c>
      <c r="F70" s="16">
        <v>1.8760066500000001</v>
      </c>
      <c r="G70" s="14">
        <v>50.790805579999997</v>
      </c>
      <c r="H70" s="16">
        <v>1.8760066500000001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(3156/B72*100)</f>
        <v>82.639434406912798</v>
      </c>
      <c r="D72" s="15">
        <v>663</v>
      </c>
      <c r="E72" s="14">
        <v>40.344923799999997</v>
      </c>
      <c r="F72" s="16">
        <v>1.9183902500000001</v>
      </c>
      <c r="G72" s="14">
        <v>59.655076200000003</v>
      </c>
      <c r="H72" s="16">
        <v>1.9183902500000001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(3880/B73*100)</f>
        <v>83.404987102321584</v>
      </c>
      <c r="D73" s="15">
        <v>772</v>
      </c>
      <c r="E73" s="14">
        <v>28.69116971</v>
      </c>
      <c r="F73" s="16">
        <v>2.0881090100000002</v>
      </c>
      <c r="G73" s="14">
        <v>71.308830290000003</v>
      </c>
      <c r="H73" s="16">
        <v>2.0881090100000002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(2501/B75*100)</f>
        <v>84.237116874368482</v>
      </c>
      <c r="D75" s="15">
        <v>468</v>
      </c>
      <c r="E75" s="14">
        <v>54.930545440000003</v>
      </c>
      <c r="F75" s="16">
        <v>2.2380308499999999</v>
      </c>
      <c r="G75" s="14">
        <v>45.069454559999997</v>
      </c>
      <c r="H75" s="16">
        <v>2.2380308499999999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(5906/B76*100)</f>
        <v>83.007730147575543</v>
      </c>
      <c r="D76" s="15">
        <v>1209</v>
      </c>
      <c r="E76" s="14">
        <v>50.319013900000002</v>
      </c>
      <c r="F76" s="16">
        <v>2.0918254900000002</v>
      </c>
      <c r="G76" s="14">
        <v>49.680986099999998</v>
      </c>
      <c r="H76" s="16">
        <v>2.0918254900000002</v>
      </c>
      <c r="I76" s="14" t="s">
        <v>139</v>
      </c>
      <c r="J76" s="16" t="s">
        <v>139</v>
      </c>
      <c r="K76" s="14">
        <v>0</v>
      </c>
      <c r="L76" s="16">
        <v>0</v>
      </c>
      <c r="M76" s="14">
        <v>0</v>
      </c>
      <c r="N76" s="16">
        <v>0</v>
      </c>
      <c r="O76" s="14">
        <v>0</v>
      </c>
      <c r="P76" s="16">
        <v>0</v>
      </c>
      <c r="Q76" s="14">
        <v>0</v>
      </c>
      <c r="R76" s="16">
        <v>0</v>
      </c>
    </row>
    <row r="77" spans="1:18" x14ac:dyDescent="0.25">
      <c r="A77" s="11" t="s">
        <v>210</v>
      </c>
      <c r="B77" s="13">
        <v>3154</v>
      </c>
      <c r="C77" s="14">
        <f>(2607/B77*100)</f>
        <v>82.656943563728603</v>
      </c>
      <c r="D77" s="15">
        <v>547</v>
      </c>
      <c r="E77" s="14">
        <v>51.90805684</v>
      </c>
      <c r="F77" s="16">
        <v>2.1221615200000001</v>
      </c>
      <c r="G77" s="14">
        <v>48.09194316</v>
      </c>
      <c r="H77" s="16">
        <v>2.1221615200000001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(3893/B81*100)</f>
        <v>82.865048957002983</v>
      </c>
      <c r="D81" s="15">
        <v>805</v>
      </c>
      <c r="E81" s="14">
        <v>39.83229025</v>
      </c>
      <c r="F81" s="16">
        <v>1.88505663</v>
      </c>
      <c r="G81" s="14">
        <v>60.16770975</v>
      </c>
      <c r="H81" s="16">
        <v>1.88505663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330</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(5930/B7*100)</f>
        <v>82.786541951696208</v>
      </c>
      <c r="D7" s="15">
        <v>1233</v>
      </c>
      <c r="E7" s="14">
        <v>26.036000229999999</v>
      </c>
      <c r="F7" s="16">
        <v>1.5544869100000001</v>
      </c>
      <c r="G7" s="14">
        <v>5.2237407600000001</v>
      </c>
      <c r="H7" s="16">
        <v>0.73460623999999997</v>
      </c>
      <c r="I7" s="14">
        <v>68.740259010000003</v>
      </c>
      <c r="J7" s="16">
        <v>1.5283868300000001</v>
      </c>
      <c r="K7" s="14" t="s">
        <v>139</v>
      </c>
      <c r="L7" s="16" t="s">
        <v>139</v>
      </c>
      <c r="M7" s="14">
        <v>0</v>
      </c>
      <c r="N7" s="16">
        <v>0</v>
      </c>
      <c r="O7" s="14">
        <v>0</v>
      </c>
      <c r="P7" s="16">
        <v>0</v>
      </c>
      <c r="Q7" s="14">
        <v>0</v>
      </c>
      <c r="R7" s="16">
        <v>0</v>
      </c>
      <c r="S7" s="14">
        <v>0</v>
      </c>
      <c r="T7" s="16">
        <v>0</v>
      </c>
    </row>
    <row r="8" spans="1:20" x14ac:dyDescent="0.25">
      <c r="A8" s="11" t="s">
        <v>140</v>
      </c>
      <c r="B8" s="13">
        <v>3443</v>
      </c>
      <c r="C8" s="14">
        <f>(2831/B8*100)</f>
        <v>82.224803950043565</v>
      </c>
      <c r="D8" s="15">
        <v>612</v>
      </c>
      <c r="E8" s="14">
        <v>30.243760730000002</v>
      </c>
      <c r="F8" s="16">
        <v>2.2349275500000001</v>
      </c>
      <c r="G8" s="14">
        <v>10.16259133</v>
      </c>
      <c r="H8" s="16">
        <v>1.6452693899999999</v>
      </c>
      <c r="I8" s="14">
        <v>59.593647939999997</v>
      </c>
      <c r="J8" s="16">
        <v>2.1952129199999999</v>
      </c>
      <c r="K8" s="14" t="s">
        <v>139</v>
      </c>
      <c r="L8" s="16" t="s">
        <v>139</v>
      </c>
      <c r="M8" s="14">
        <v>0</v>
      </c>
      <c r="N8" s="16">
        <v>0</v>
      </c>
      <c r="O8" s="14">
        <v>0</v>
      </c>
      <c r="P8" s="16">
        <v>0</v>
      </c>
      <c r="Q8" s="14">
        <v>0</v>
      </c>
      <c r="R8" s="16">
        <v>0</v>
      </c>
      <c r="S8" s="14">
        <v>0</v>
      </c>
      <c r="T8" s="16">
        <v>0</v>
      </c>
    </row>
    <row r="9" spans="1:20" x14ac:dyDescent="0.25">
      <c r="A9" s="11" t="s">
        <v>141</v>
      </c>
      <c r="B9" s="13">
        <v>4752</v>
      </c>
      <c r="C9" s="14">
        <f>(3971/B9*100)</f>
        <v>83.56481481481481</v>
      </c>
      <c r="D9" s="15">
        <v>781</v>
      </c>
      <c r="E9" s="14">
        <v>27.298976540000002</v>
      </c>
      <c r="F9" s="16">
        <v>1.90211777</v>
      </c>
      <c r="G9" s="14">
        <v>17.947798110000001</v>
      </c>
      <c r="H9" s="16">
        <v>1.24499659</v>
      </c>
      <c r="I9" s="14">
        <v>54.753225350000001</v>
      </c>
      <c r="J9" s="16">
        <v>1.9532869399999999</v>
      </c>
      <c r="K9" s="14" t="s">
        <v>139</v>
      </c>
      <c r="L9" s="16" t="s">
        <v>139</v>
      </c>
      <c r="M9" s="14">
        <v>0</v>
      </c>
      <c r="N9" s="16">
        <v>0</v>
      </c>
      <c r="O9" s="14">
        <v>0</v>
      </c>
      <c r="P9" s="16">
        <v>0</v>
      </c>
      <c r="Q9" s="14">
        <v>0</v>
      </c>
      <c r="R9" s="16">
        <v>0</v>
      </c>
      <c r="S9" s="14">
        <v>0</v>
      </c>
      <c r="T9" s="16">
        <v>0</v>
      </c>
    </row>
    <row r="10" spans="1:20" x14ac:dyDescent="0.25">
      <c r="A10" s="11" t="s">
        <v>142</v>
      </c>
      <c r="B10" s="13">
        <v>10022</v>
      </c>
      <c r="C10" s="14">
        <f>(8308/B10*100)</f>
        <v>82.897625224506086</v>
      </c>
      <c r="D10" s="15">
        <v>1714</v>
      </c>
      <c r="E10" s="14">
        <v>19.982648040000001</v>
      </c>
      <c r="F10" s="16">
        <v>1.33145073</v>
      </c>
      <c r="G10" s="14">
        <v>9.9490888200000001</v>
      </c>
      <c r="H10" s="16">
        <v>0.86255464000000004</v>
      </c>
      <c r="I10" s="14">
        <v>70.068263139999999</v>
      </c>
      <c r="J10" s="16">
        <v>1.40850568</v>
      </c>
      <c r="K10" s="14" t="s">
        <v>139</v>
      </c>
      <c r="L10" s="16" t="s">
        <v>139</v>
      </c>
      <c r="M10" s="14">
        <v>0</v>
      </c>
      <c r="N10" s="16">
        <v>0</v>
      </c>
      <c r="O10" s="14">
        <v>0</v>
      </c>
      <c r="P10" s="16">
        <v>0</v>
      </c>
      <c r="Q10" s="14">
        <v>0</v>
      </c>
      <c r="R10" s="16">
        <v>0</v>
      </c>
      <c r="S10" s="14">
        <v>0</v>
      </c>
      <c r="T10" s="16">
        <v>0</v>
      </c>
    </row>
    <row r="11" spans="1:20" x14ac:dyDescent="0.25">
      <c r="A11" s="11" t="s">
        <v>143</v>
      </c>
      <c r="B11" s="13">
        <v>3500</v>
      </c>
      <c r="C11" s="14">
        <f>(2893/B11*100)</f>
        <v>82.657142857142858</v>
      </c>
      <c r="D11" s="15">
        <v>607</v>
      </c>
      <c r="E11" s="14">
        <v>37.40395255</v>
      </c>
      <c r="F11" s="16">
        <v>2.03089282</v>
      </c>
      <c r="G11" s="14">
        <v>17.527666140000001</v>
      </c>
      <c r="H11" s="16">
        <v>1.64707425</v>
      </c>
      <c r="I11" s="14">
        <v>45.068381309999999</v>
      </c>
      <c r="J11" s="16">
        <v>2.3185579600000001</v>
      </c>
      <c r="K11" s="14" t="s">
        <v>139</v>
      </c>
      <c r="L11" s="16" t="s">
        <v>139</v>
      </c>
      <c r="M11" s="14">
        <v>0</v>
      </c>
      <c r="N11" s="16">
        <v>0</v>
      </c>
      <c r="O11" s="14">
        <v>0</v>
      </c>
      <c r="P11" s="16">
        <v>0</v>
      </c>
      <c r="Q11" s="14">
        <v>0</v>
      </c>
      <c r="R11" s="16">
        <v>0</v>
      </c>
      <c r="S11" s="14">
        <v>0</v>
      </c>
      <c r="T11" s="16">
        <v>0</v>
      </c>
    </row>
    <row r="12" spans="1:20" x14ac:dyDescent="0.25">
      <c r="A12" s="11" t="s">
        <v>144</v>
      </c>
      <c r="B12" s="13">
        <v>3422</v>
      </c>
      <c r="C12" s="14">
        <f>(2868/B12*100)</f>
        <v>83.810637054354174</v>
      </c>
      <c r="D12" s="15">
        <v>554</v>
      </c>
      <c r="E12" s="14">
        <v>27.38523855</v>
      </c>
      <c r="F12" s="16">
        <v>2.4593343700000001</v>
      </c>
      <c r="G12" s="14">
        <v>14.32857198</v>
      </c>
      <c r="H12" s="16">
        <v>1.8375107399999999</v>
      </c>
      <c r="I12" s="14">
        <v>58.286189469999997</v>
      </c>
      <c r="J12" s="16">
        <v>2.9368345900000001</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(3005/B13*100)</f>
        <v>83.425874514158807</v>
      </c>
      <c r="D13" s="15">
        <v>597</v>
      </c>
      <c r="E13" s="14">
        <v>24.327748190000001</v>
      </c>
      <c r="F13" s="16">
        <v>2.1401255400000001</v>
      </c>
      <c r="G13" s="14">
        <v>16.850268740000001</v>
      </c>
      <c r="H13" s="16">
        <v>2.04521855</v>
      </c>
      <c r="I13" s="14">
        <v>58.821983070000002</v>
      </c>
      <c r="J13" s="16">
        <v>2.3998345300000001</v>
      </c>
      <c r="K13" s="14" t="s">
        <v>139</v>
      </c>
      <c r="L13" s="16" t="s">
        <v>139</v>
      </c>
      <c r="M13" s="14">
        <v>0</v>
      </c>
      <c r="N13" s="16">
        <v>0</v>
      </c>
      <c r="O13" s="14">
        <v>0</v>
      </c>
      <c r="P13" s="16">
        <v>0</v>
      </c>
      <c r="Q13" s="14">
        <v>0</v>
      </c>
      <c r="R13" s="16">
        <v>0</v>
      </c>
      <c r="S13" s="14">
        <v>0</v>
      </c>
      <c r="T13" s="16">
        <v>0</v>
      </c>
    </row>
    <row r="14" spans="1:20" x14ac:dyDescent="0.25">
      <c r="A14" s="11" t="s">
        <v>146</v>
      </c>
      <c r="B14" s="13">
        <v>2788</v>
      </c>
      <c r="C14" s="14">
        <f>(2306/B14*100)</f>
        <v>82.711621233859404</v>
      </c>
      <c r="D14" s="15">
        <v>482</v>
      </c>
      <c r="E14" s="14">
        <v>20.42636736</v>
      </c>
      <c r="F14" s="16">
        <v>1.75367842</v>
      </c>
      <c r="G14" s="14">
        <v>11.68023028</v>
      </c>
      <c r="H14" s="16">
        <v>1.6622827600000001</v>
      </c>
      <c r="I14" s="14">
        <v>67.893402359999996</v>
      </c>
      <c r="J14" s="16">
        <v>2.2156900099999999</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(2364/B15*100)</f>
        <v>82.570730003492841</v>
      </c>
      <c r="D15" s="15">
        <v>499</v>
      </c>
      <c r="E15" s="14">
        <v>23.940561150000001</v>
      </c>
      <c r="F15" s="16">
        <v>1.90486876</v>
      </c>
      <c r="G15" s="14">
        <v>13.83304987</v>
      </c>
      <c r="H15" s="16">
        <v>1.3656759599999999</v>
      </c>
      <c r="I15" s="14">
        <v>62.226388980000003</v>
      </c>
      <c r="J15" s="16">
        <v>2.0086141500000001</v>
      </c>
      <c r="K15" s="14" t="s">
        <v>139</v>
      </c>
      <c r="L15" s="16" t="s">
        <v>139</v>
      </c>
      <c r="M15" s="14">
        <v>0</v>
      </c>
      <c r="N15" s="16">
        <v>0</v>
      </c>
      <c r="O15" s="14">
        <v>0</v>
      </c>
      <c r="P15" s="16">
        <v>0</v>
      </c>
      <c r="Q15" s="14">
        <v>0</v>
      </c>
      <c r="R15" s="16">
        <v>0</v>
      </c>
      <c r="S15" s="14">
        <v>0</v>
      </c>
      <c r="T15" s="16">
        <v>0</v>
      </c>
    </row>
    <row r="16" spans="1:20" x14ac:dyDescent="0.25">
      <c r="A16" s="11" t="s">
        <v>148</v>
      </c>
      <c r="B16" s="13">
        <v>3111</v>
      </c>
      <c r="C16" s="14">
        <f>(2570/B16*100)</f>
        <v>82.610093217614917</v>
      </c>
      <c r="D16" s="15">
        <v>541</v>
      </c>
      <c r="E16" s="14">
        <v>32.765302589999997</v>
      </c>
      <c r="F16" s="16">
        <v>2.09913098</v>
      </c>
      <c r="G16" s="14">
        <v>15.1466929</v>
      </c>
      <c r="H16" s="16">
        <v>1.6213319100000001</v>
      </c>
      <c r="I16" s="14">
        <v>52.088004509999998</v>
      </c>
      <c r="J16" s="16">
        <v>2.1833150699999999</v>
      </c>
      <c r="K16" s="14" t="s">
        <v>139</v>
      </c>
      <c r="L16" s="16" t="s">
        <v>139</v>
      </c>
      <c r="M16" s="14">
        <v>0</v>
      </c>
      <c r="N16" s="16">
        <v>0</v>
      </c>
      <c r="O16" s="14">
        <v>0</v>
      </c>
      <c r="P16" s="16">
        <v>0</v>
      </c>
      <c r="Q16" s="14">
        <v>0</v>
      </c>
      <c r="R16" s="16">
        <v>0</v>
      </c>
      <c r="S16" s="14">
        <v>0</v>
      </c>
      <c r="T16" s="16">
        <v>0</v>
      </c>
    </row>
    <row r="17" spans="1:20" x14ac:dyDescent="0.25">
      <c r="A17" s="11" t="s">
        <v>149</v>
      </c>
      <c r="B17" s="13">
        <v>3197</v>
      </c>
      <c r="C17" s="14">
        <f>(2623/B17*100)</f>
        <v>82.045667813575236</v>
      </c>
      <c r="D17" s="15">
        <v>574</v>
      </c>
      <c r="E17" s="14">
        <v>23.83515719</v>
      </c>
      <c r="F17" s="16">
        <v>1.62321998</v>
      </c>
      <c r="G17" s="14">
        <v>10.88831034</v>
      </c>
      <c r="H17" s="16">
        <v>1.1766123900000001</v>
      </c>
      <c r="I17" s="14">
        <v>65.276532459999999</v>
      </c>
      <c r="J17" s="16">
        <v>2.1398479199999998</v>
      </c>
      <c r="K17" s="14" t="s">
        <v>139</v>
      </c>
      <c r="L17" s="16" t="s">
        <v>139</v>
      </c>
      <c r="M17" s="14">
        <v>0</v>
      </c>
      <c r="N17" s="16">
        <v>0</v>
      </c>
      <c r="O17" s="14">
        <v>0</v>
      </c>
      <c r="P17" s="16">
        <v>0</v>
      </c>
      <c r="Q17" s="14">
        <v>0</v>
      </c>
      <c r="R17" s="16">
        <v>0</v>
      </c>
      <c r="S17" s="14">
        <v>0</v>
      </c>
      <c r="T17" s="16">
        <v>0</v>
      </c>
    </row>
    <row r="18" spans="1:20" x14ac:dyDescent="0.25">
      <c r="A18" s="11" t="s">
        <v>150</v>
      </c>
      <c r="B18" s="13">
        <v>2706</v>
      </c>
      <c r="C18" s="14">
        <f>(2235/B18*100)</f>
        <v>82.594235033259423</v>
      </c>
      <c r="D18" s="15">
        <v>471</v>
      </c>
      <c r="E18" s="14">
        <v>35.425915869999997</v>
      </c>
      <c r="F18" s="16">
        <v>2.5058681900000002</v>
      </c>
      <c r="G18" s="14">
        <v>16.202701739999998</v>
      </c>
      <c r="H18" s="16">
        <v>1.79397008</v>
      </c>
      <c r="I18" s="14">
        <v>48.371382390000001</v>
      </c>
      <c r="J18" s="16">
        <v>2.41329153</v>
      </c>
      <c r="K18" s="14" t="s">
        <v>139</v>
      </c>
      <c r="L18" s="16" t="s">
        <v>139</v>
      </c>
      <c r="M18" s="14">
        <v>0</v>
      </c>
      <c r="N18" s="16">
        <v>0</v>
      </c>
      <c r="O18" s="14">
        <v>0</v>
      </c>
      <c r="P18" s="16">
        <v>0</v>
      </c>
      <c r="Q18" s="14">
        <v>0</v>
      </c>
      <c r="R18" s="16">
        <v>0</v>
      </c>
      <c r="S18" s="14">
        <v>0</v>
      </c>
      <c r="T18" s="16">
        <v>0</v>
      </c>
    </row>
    <row r="19" spans="1:20" x14ac:dyDescent="0.25">
      <c r="A19" s="11" t="s">
        <v>151</v>
      </c>
      <c r="B19" s="13">
        <v>2850</v>
      </c>
      <c r="C19" s="14">
        <f>(2366/B19*100)</f>
        <v>83.017543859649123</v>
      </c>
      <c r="D19" s="15">
        <v>484</v>
      </c>
      <c r="E19" s="14">
        <v>36.863417460000001</v>
      </c>
      <c r="F19" s="16">
        <v>2.6900178499999998</v>
      </c>
      <c r="G19" s="14">
        <v>15.537304150000001</v>
      </c>
      <c r="H19" s="16">
        <v>1.5158786099999999</v>
      </c>
      <c r="I19" s="14">
        <v>47.599278380000001</v>
      </c>
      <c r="J19" s="16">
        <v>2.72419433</v>
      </c>
      <c r="K19" s="14" t="s">
        <v>139</v>
      </c>
      <c r="L19" s="16" t="s">
        <v>139</v>
      </c>
      <c r="M19" s="14">
        <v>0</v>
      </c>
      <c r="N19" s="16">
        <v>0</v>
      </c>
      <c r="O19" s="14">
        <v>0</v>
      </c>
      <c r="P19" s="16">
        <v>0</v>
      </c>
      <c r="Q19" s="14">
        <v>0</v>
      </c>
      <c r="R19" s="16">
        <v>0</v>
      </c>
      <c r="S19" s="14">
        <v>0</v>
      </c>
      <c r="T19" s="16">
        <v>0</v>
      </c>
    </row>
    <row r="20" spans="1:20" x14ac:dyDescent="0.25">
      <c r="A20" s="11" t="s">
        <v>152</v>
      </c>
      <c r="B20" s="13">
        <v>1741</v>
      </c>
      <c r="C20" s="14">
        <f>(1442/B20*100)</f>
        <v>82.825962090752441</v>
      </c>
      <c r="D20" s="15">
        <v>299</v>
      </c>
      <c r="E20" s="14">
        <v>28.187659579999998</v>
      </c>
      <c r="F20" s="16">
        <v>2.1430236599999999</v>
      </c>
      <c r="G20" s="14">
        <v>11.44446668</v>
      </c>
      <c r="H20" s="16">
        <v>1.6605332799999999</v>
      </c>
      <c r="I20" s="14">
        <v>60.367873729999999</v>
      </c>
      <c r="J20" s="16">
        <v>2.4142405600000001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(3135/B22*100)</f>
        <v>85.492227979274617</v>
      </c>
      <c r="D22" s="15">
        <v>532</v>
      </c>
      <c r="E22" s="14">
        <v>30.56484567</v>
      </c>
      <c r="F22" s="16">
        <v>2.5219745599999999</v>
      </c>
      <c r="G22" s="14">
        <v>13.35098994</v>
      </c>
      <c r="H22" s="16">
        <v>1.34522842</v>
      </c>
      <c r="I22" s="14">
        <v>56.084164379999997</v>
      </c>
      <c r="J22" s="16">
        <v>2.6134804800000002</v>
      </c>
      <c r="K22" s="14" t="s">
        <v>139</v>
      </c>
      <c r="L22" s="16" t="s">
        <v>139</v>
      </c>
      <c r="M22" s="14">
        <v>0</v>
      </c>
      <c r="N22" s="16">
        <v>0</v>
      </c>
      <c r="O22" s="14">
        <v>0</v>
      </c>
      <c r="P22" s="16">
        <v>0</v>
      </c>
      <c r="Q22" s="14">
        <v>0</v>
      </c>
      <c r="R22" s="16">
        <v>0</v>
      </c>
      <c r="S22" s="14">
        <v>0</v>
      </c>
      <c r="T22" s="16">
        <v>0</v>
      </c>
    </row>
    <row r="23" spans="1:20" x14ac:dyDescent="0.25">
      <c r="A23" s="11" t="s">
        <v>156</v>
      </c>
      <c r="B23" s="13">
        <v>5792</v>
      </c>
      <c r="C23" s="14">
        <f>(4796/B23*100)</f>
        <v>82.803867403314911</v>
      </c>
      <c r="D23" s="15">
        <v>996</v>
      </c>
      <c r="E23" s="14">
        <v>29.995782389999999</v>
      </c>
      <c r="F23" s="16">
        <v>2.1770941100000001</v>
      </c>
      <c r="G23" s="14">
        <v>14.003105619999999</v>
      </c>
      <c r="H23" s="16">
        <v>1.5171213699999999</v>
      </c>
      <c r="I23" s="14">
        <v>56.001111979999997</v>
      </c>
      <c r="J23" s="16">
        <v>2.19341783</v>
      </c>
      <c r="K23" s="14" t="s">
        <v>139</v>
      </c>
      <c r="L23" s="16" t="s">
        <v>139</v>
      </c>
      <c r="M23" s="14">
        <v>0</v>
      </c>
      <c r="N23" s="16">
        <v>0</v>
      </c>
      <c r="O23" s="14">
        <v>0</v>
      </c>
      <c r="P23" s="16">
        <v>0</v>
      </c>
      <c r="Q23" s="14">
        <v>0</v>
      </c>
      <c r="R23" s="16">
        <v>0</v>
      </c>
      <c r="S23" s="14">
        <v>0</v>
      </c>
      <c r="T23" s="16">
        <v>0</v>
      </c>
    </row>
    <row r="24" spans="1:20" x14ac:dyDescent="0.25">
      <c r="A24" s="11" t="s">
        <v>157</v>
      </c>
      <c r="B24" s="13">
        <v>3309</v>
      </c>
      <c r="C24" s="14">
        <f>(2718/B24*100)</f>
        <v>82.139619220308248</v>
      </c>
      <c r="D24" s="15">
        <v>591</v>
      </c>
      <c r="E24" s="14">
        <v>60.095987200000003</v>
      </c>
      <c r="F24" s="16">
        <v>2.1013141200000001</v>
      </c>
      <c r="G24" s="14">
        <v>21.502833989999999</v>
      </c>
      <c r="H24" s="16">
        <v>1.6965673100000001</v>
      </c>
      <c r="I24" s="14">
        <v>18.401178810000001</v>
      </c>
      <c r="J24" s="16">
        <v>1.6712248599999999</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29.74145794</v>
      </c>
      <c r="F25" s="16">
        <v>1.90894279</v>
      </c>
      <c r="G25" s="14">
        <v>8.4972179899999993</v>
      </c>
      <c r="H25" s="16">
        <v>1.2703287700000001</v>
      </c>
      <c r="I25" s="14">
        <v>61.761324070000001</v>
      </c>
      <c r="J25" s="16">
        <v>2.0258783999999999</v>
      </c>
      <c r="K25" s="14" t="s">
        <v>139</v>
      </c>
      <c r="L25" s="16" t="s">
        <v>139</v>
      </c>
      <c r="M25" s="14">
        <v>0</v>
      </c>
      <c r="N25" s="16">
        <v>0</v>
      </c>
      <c r="O25" s="14">
        <v>0</v>
      </c>
      <c r="P25" s="16">
        <v>0</v>
      </c>
      <c r="Q25" s="14">
        <v>0</v>
      </c>
      <c r="R25" s="16">
        <v>0</v>
      </c>
      <c r="S25" s="14">
        <v>0</v>
      </c>
      <c r="T25" s="16">
        <v>0</v>
      </c>
    </row>
    <row r="26" spans="1:20" x14ac:dyDescent="0.25">
      <c r="A26" s="11" t="s">
        <v>159</v>
      </c>
      <c r="B26" s="13">
        <v>2419</v>
      </c>
      <c r="C26" s="14">
        <f>(1989/B26*100)</f>
        <v>82.224059528730876</v>
      </c>
      <c r="D26" s="15">
        <v>430</v>
      </c>
      <c r="E26" s="14">
        <v>27.958640089999999</v>
      </c>
      <c r="F26" s="16">
        <v>2.65119682</v>
      </c>
      <c r="G26" s="14">
        <v>12.224685320000001</v>
      </c>
      <c r="H26" s="16">
        <v>1.5606342</v>
      </c>
      <c r="I26" s="14">
        <v>59.816674589999998</v>
      </c>
      <c r="J26" s="16">
        <v>2.69989832</v>
      </c>
      <c r="K26" s="14" t="s">
        <v>139</v>
      </c>
      <c r="L26" s="16" t="s">
        <v>139</v>
      </c>
      <c r="M26" s="14">
        <v>0</v>
      </c>
      <c r="N26" s="16">
        <v>0</v>
      </c>
      <c r="O26" s="14">
        <v>0</v>
      </c>
      <c r="P26" s="16">
        <v>0</v>
      </c>
      <c r="Q26" s="14">
        <v>0</v>
      </c>
      <c r="R26" s="16">
        <v>0</v>
      </c>
      <c r="S26" s="14">
        <v>0</v>
      </c>
      <c r="T26" s="16">
        <v>0</v>
      </c>
    </row>
    <row r="27" spans="1:20" x14ac:dyDescent="0.25">
      <c r="A27" s="11" t="s">
        <v>160</v>
      </c>
      <c r="B27" s="13">
        <v>2683</v>
      </c>
      <c r="C27" s="14">
        <f>(2210/B27*100)</f>
        <v>82.370480805068951</v>
      </c>
      <c r="D27" s="15">
        <v>473</v>
      </c>
      <c r="E27" s="14">
        <v>30.144399539999998</v>
      </c>
      <c r="F27" s="16">
        <v>1.83625353</v>
      </c>
      <c r="G27" s="14">
        <v>13.751316409999999</v>
      </c>
      <c r="H27" s="16">
        <v>1.6081082900000001</v>
      </c>
      <c r="I27" s="14">
        <v>56.104284049999997</v>
      </c>
      <c r="J27" s="16">
        <v>2.13932835</v>
      </c>
      <c r="K27" s="14" t="s">
        <v>139</v>
      </c>
      <c r="L27" s="16" t="s">
        <v>139</v>
      </c>
      <c r="M27" s="14">
        <v>0</v>
      </c>
      <c r="N27" s="16">
        <v>0</v>
      </c>
      <c r="O27" s="14">
        <v>0</v>
      </c>
      <c r="P27" s="16">
        <v>0</v>
      </c>
      <c r="Q27" s="14">
        <v>0</v>
      </c>
      <c r="R27" s="16">
        <v>0</v>
      </c>
      <c r="S27" s="14">
        <v>0</v>
      </c>
      <c r="T27" s="16">
        <v>0</v>
      </c>
    </row>
    <row r="28" spans="1:20" x14ac:dyDescent="0.25">
      <c r="A28" s="11" t="s">
        <v>161</v>
      </c>
      <c r="B28" s="13">
        <v>3803</v>
      </c>
      <c r="C28" s="14">
        <f>(3184/B28*100)</f>
        <v>83.723376281882722</v>
      </c>
      <c r="D28" s="15">
        <v>619</v>
      </c>
      <c r="E28" s="14">
        <v>41.693073069999997</v>
      </c>
      <c r="F28" s="16">
        <v>1.9181400900000001</v>
      </c>
      <c r="G28" s="14">
        <v>12.280731319999999</v>
      </c>
      <c r="H28" s="16">
        <v>1.3369713400000001</v>
      </c>
      <c r="I28" s="14">
        <v>46.026195610000002</v>
      </c>
      <c r="J28" s="16">
        <v>1.8699000400000001</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(2264/B29*100)</f>
        <v>83.851851851851862</v>
      </c>
      <c r="D29" s="15">
        <v>436</v>
      </c>
      <c r="E29" s="14">
        <v>26.899842759999999</v>
      </c>
      <c r="F29" s="16">
        <v>1.9266795999999999</v>
      </c>
      <c r="G29" s="14">
        <v>15.17032118</v>
      </c>
      <c r="H29" s="16">
        <v>1.86782479</v>
      </c>
      <c r="I29" s="14">
        <v>57.92983606</v>
      </c>
      <c r="J29" s="16">
        <v>2.38406494</v>
      </c>
      <c r="K29" s="14" t="s">
        <v>139</v>
      </c>
      <c r="L29" s="16" t="s">
        <v>139</v>
      </c>
      <c r="M29" s="14">
        <v>0</v>
      </c>
      <c r="N29" s="16">
        <v>0</v>
      </c>
      <c r="O29" s="14">
        <v>0</v>
      </c>
      <c r="P29" s="16">
        <v>0</v>
      </c>
      <c r="Q29" s="14">
        <v>0</v>
      </c>
      <c r="R29" s="16">
        <v>0</v>
      </c>
      <c r="S29" s="14">
        <v>0</v>
      </c>
      <c r="T29" s="16">
        <v>0</v>
      </c>
    </row>
    <row r="30" spans="1:20" x14ac:dyDescent="0.25">
      <c r="A30" s="11" t="s">
        <v>163</v>
      </c>
      <c r="B30" s="13">
        <v>2257</v>
      </c>
      <c r="C30" s="14">
        <f>(1899/B30*100)</f>
        <v>84.138236597252984</v>
      </c>
      <c r="D30" s="15">
        <v>358</v>
      </c>
      <c r="E30" s="14">
        <v>23.151227519999999</v>
      </c>
      <c r="F30" s="16">
        <v>1.9656078699999999</v>
      </c>
      <c r="G30" s="14">
        <v>7.1220406000000001</v>
      </c>
      <c r="H30" s="16">
        <v>1.36480237</v>
      </c>
      <c r="I30" s="14">
        <v>69.726731880000003</v>
      </c>
      <c r="J30" s="16">
        <v>2.2878336099999999</v>
      </c>
      <c r="K30" s="14" t="s">
        <v>139</v>
      </c>
      <c r="L30" s="16" t="s">
        <v>139</v>
      </c>
      <c r="M30" s="14">
        <v>0</v>
      </c>
      <c r="N30" s="16">
        <v>0</v>
      </c>
      <c r="O30" s="14">
        <v>0</v>
      </c>
      <c r="P30" s="16">
        <v>0</v>
      </c>
      <c r="Q30" s="14">
        <v>0</v>
      </c>
      <c r="R30" s="16">
        <v>0</v>
      </c>
      <c r="S30" s="14">
        <v>0</v>
      </c>
      <c r="T30" s="16">
        <v>0</v>
      </c>
    </row>
    <row r="31" spans="1:20" x14ac:dyDescent="0.25">
      <c r="A31" s="11" t="s">
        <v>164</v>
      </c>
      <c r="B31" s="13">
        <v>2706</v>
      </c>
      <c r="C31" s="14">
        <f>(2245/B31*100)</f>
        <v>82.963784183296369</v>
      </c>
      <c r="D31" s="15">
        <v>461</v>
      </c>
      <c r="E31" s="14">
        <v>24.074473260000001</v>
      </c>
      <c r="F31" s="16">
        <v>2.0822950200000001</v>
      </c>
      <c r="G31" s="14">
        <v>19.259139179999998</v>
      </c>
      <c r="H31" s="16">
        <v>1.9266034700000001</v>
      </c>
      <c r="I31" s="14">
        <v>56.666387559999997</v>
      </c>
      <c r="J31" s="16">
        <v>2.3432180900000001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(3042/B33*100)</f>
        <v>83.319638455217742</v>
      </c>
      <c r="D33" s="15">
        <v>609</v>
      </c>
      <c r="E33" s="14">
        <v>26.01359918</v>
      </c>
      <c r="F33" s="16">
        <v>2.1056041799999998</v>
      </c>
      <c r="G33" s="14">
        <v>10.52820582</v>
      </c>
      <c r="H33" s="16">
        <v>1.45417014</v>
      </c>
      <c r="I33" s="14">
        <v>63.458195000000003</v>
      </c>
      <c r="J33" s="16">
        <v>2.2296629399999999</v>
      </c>
      <c r="K33" s="14" t="s">
        <v>139</v>
      </c>
      <c r="L33" s="16" t="s">
        <v>139</v>
      </c>
      <c r="M33" s="14">
        <v>0</v>
      </c>
      <c r="N33" s="16">
        <v>0</v>
      </c>
      <c r="O33" s="14">
        <v>0</v>
      </c>
      <c r="P33" s="16">
        <v>0</v>
      </c>
      <c r="Q33" s="14">
        <v>0</v>
      </c>
      <c r="R33" s="16">
        <v>0</v>
      </c>
      <c r="S33" s="14">
        <v>0</v>
      </c>
      <c r="T33" s="16">
        <v>0</v>
      </c>
    </row>
    <row r="34" spans="1:20" x14ac:dyDescent="0.25">
      <c r="A34" s="11" t="s">
        <v>167</v>
      </c>
      <c r="B34" s="13">
        <v>3035</v>
      </c>
      <c r="C34" s="14">
        <f>(2538/B34*100)</f>
        <v>83.62438220757825</v>
      </c>
      <c r="D34" s="15">
        <v>497</v>
      </c>
      <c r="E34" s="14">
        <v>37.027590670000002</v>
      </c>
      <c r="F34" s="16">
        <v>1.9868407299999999</v>
      </c>
      <c r="G34" s="14">
        <v>14.058612269999999</v>
      </c>
      <c r="H34" s="16">
        <v>1.5188489599999999</v>
      </c>
      <c r="I34" s="14">
        <v>48.91379706</v>
      </c>
      <c r="J34" s="16">
        <v>2.3343016200000002</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(2422/B35*100)</f>
        <v>83.488452257842127</v>
      </c>
      <c r="D35" s="15">
        <v>479</v>
      </c>
      <c r="E35" s="14">
        <v>33.378607850000002</v>
      </c>
      <c r="F35" s="16">
        <v>2.8546436700000002</v>
      </c>
      <c r="G35" s="14">
        <v>8.1039489600000003</v>
      </c>
      <c r="H35" s="16">
        <v>1.45185969</v>
      </c>
      <c r="I35" s="14">
        <v>58.517443190000002</v>
      </c>
      <c r="J35" s="16">
        <v>2.9095318099999998</v>
      </c>
      <c r="K35" s="14" t="s">
        <v>139</v>
      </c>
      <c r="L35" s="16" t="s">
        <v>139</v>
      </c>
      <c r="M35" s="14">
        <v>0</v>
      </c>
      <c r="N35" s="16">
        <v>0</v>
      </c>
      <c r="O35" s="14">
        <v>0</v>
      </c>
      <c r="P35" s="16">
        <v>0</v>
      </c>
      <c r="Q35" s="14">
        <v>0</v>
      </c>
      <c r="R35" s="16">
        <v>0</v>
      </c>
      <c r="S35" s="14">
        <v>0</v>
      </c>
      <c r="T35" s="16">
        <v>0</v>
      </c>
    </row>
    <row r="36" spans="1:20" x14ac:dyDescent="0.25">
      <c r="A36" s="11" t="s">
        <v>169</v>
      </c>
      <c r="B36" s="13">
        <v>3404</v>
      </c>
      <c r="C36" s="14">
        <f>(2833/B36*100)</f>
        <v>83.225616921269093</v>
      </c>
      <c r="D36" s="15">
        <v>571</v>
      </c>
      <c r="E36" s="14">
        <v>23.61792664</v>
      </c>
      <c r="F36" s="16">
        <v>1.8650204500000001</v>
      </c>
      <c r="G36" s="14">
        <v>16.841793859999999</v>
      </c>
      <c r="H36" s="16">
        <v>1.5488909099999999</v>
      </c>
      <c r="I36" s="14">
        <v>59.540279499999997</v>
      </c>
      <c r="J36" s="16">
        <v>1.9201363899999999</v>
      </c>
      <c r="K36" s="14" t="s">
        <v>139</v>
      </c>
      <c r="L36" s="16" t="s">
        <v>139</v>
      </c>
      <c r="M36" s="14">
        <v>0</v>
      </c>
      <c r="N36" s="16">
        <v>0</v>
      </c>
      <c r="O36" s="14">
        <v>0</v>
      </c>
      <c r="P36" s="16">
        <v>0</v>
      </c>
      <c r="Q36" s="14">
        <v>0</v>
      </c>
      <c r="R36" s="16">
        <v>0</v>
      </c>
      <c r="S36" s="14">
        <v>0</v>
      </c>
      <c r="T36" s="16">
        <v>0</v>
      </c>
    </row>
    <row r="37" spans="1:20" x14ac:dyDescent="0.25">
      <c r="A37" s="11" t="s">
        <v>170</v>
      </c>
      <c r="B37" s="13">
        <v>2731</v>
      </c>
      <c r="C37" s="14">
        <f>(2268/B37*100)</f>
        <v>83.046503112413035</v>
      </c>
      <c r="D37" s="15">
        <v>463</v>
      </c>
      <c r="E37" s="14">
        <v>31.713237100000001</v>
      </c>
      <c r="F37" s="16">
        <v>2.26748583</v>
      </c>
      <c r="G37" s="14">
        <v>15.187773350000001</v>
      </c>
      <c r="H37" s="16">
        <v>1.4821654500000001</v>
      </c>
      <c r="I37" s="14">
        <v>53.098989549999999</v>
      </c>
      <c r="J37" s="16">
        <v>2.5458188700000002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(2414/B39*100)</f>
        <v>82.164737916950301</v>
      </c>
      <c r="D39" s="15">
        <v>524</v>
      </c>
      <c r="E39" s="14">
        <v>45.999550329999998</v>
      </c>
      <c r="F39" s="16">
        <v>2.28088924</v>
      </c>
      <c r="G39" s="14">
        <v>14.54728362</v>
      </c>
      <c r="H39" s="16">
        <v>1.3041355100000001</v>
      </c>
      <c r="I39" s="14">
        <v>39.453166039999999</v>
      </c>
      <c r="J39" s="16">
        <v>2.0921725900000001</v>
      </c>
      <c r="K39" s="14" t="s">
        <v>139</v>
      </c>
      <c r="L39" s="16" t="s">
        <v>139</v>
      </c>
      <c r="M39" s="14">
        <v>0</v>
      </c>
      <c r="N39" s="16">
        <v>0</v>
      </c>
      <c r="O39" s="14">
        <v>0</v>
      </c>
      <c r="P39" s="16">
        <v>0</v>
      </c>
      <c r="Q39" s="14">
        <v>0</v>
      </c>
      <c r="R39" s="16">
        <v>0</v>
      </c>
      <c r="S39" s="14">
        <v>0</v>
      </c>
      <c r="T39" s="16">
        <v>0</v>
      </c>
    </row>
    <row r="40" spans="1:20" x14ac:dyDescent="0.25">
      <c r="A40" s="11" t="s">
        <v>173</v>
      </c>
      <c r="B40" s="13">
        <v>6922</v>
      </c>
      <c r="C40" s="14">
        <f>(5733/B40*100)</f>
        <v>82.822883559664845</v>
      </c>
      <c r="D40" s="15">
        <v>1189</v>
      </c>
      <c r="E40" s="14">
        <v>26.772547960000001</v>
      </c>
      <c r="F40" s="16">
        <v>2.0583440799999999</v>
      </c>
      <c r="G40" s="14">
        <v>9.2961067100000001</v>
      </c>
      <c r="H40" s="16">
        <v>1.2978984200000001</v>
      </c>
      <c r="I40" s="14">
        <v>63.931345329999999</v>
      </c>
      <c r="J40" s="16">
        <v>2.23833394</v>
      </c>
      <c r="K40" s="14" t="s">
        <v>139</v>
      </c>
      <c r="L40" s="16" t="s">
        <v>139</v>
      </c>
      <c r="M40" s="14">
        <v>0</v>
      </c>
      <c r="N40" s="16">
        <v>0</v>
      </c>
      <c r="O40" s="14">
        <v>0</v>
      </c>
      <c r="P40" s="16">
        <v>0</v>
      </c>
      <c r="Q40" s="14">
        <v>0</v>
      </c>
      <c r="R40" s="16">
        <v>0</v>
      </c>
      <c r="S40" s="14">
        <v>0</v>
      </c>
      <c r="T40" s="16">
        <v>0</v>
      </c>
    </row>
    <row r="41" spans="1:20" x14ac:dyDescent="0.25">
      <c r="A41" s="11" t="s">
        <v>174</v>
      </c>
      <c r="B41" s="13">
        <v>2854</v>
      </c>
      <c r="C41" s="14">
        <f>(2350/B41*100)</f>
        <v>82.340574632095311</v>
      </c>
      <c r="D41" s="15">
        <v>504</v>
      </c>
      <c r="E41" s="14">
        <v>29.746779109999999</v>
      </c>
      <c r="F41" s="16">
        <v>2.24514228</v>
      </c>
      <c r="G41" s="14">
        <v>10.22932877</v>
      </c>
      <c r="H41" s="16">
        <v>1.4858378800000001</v>
      </c>
      <c r="I41" s="14">
        <v>60.023892119999999</v>
      </c>
      <c r="J41" s="16">
        <v>2.41061785</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83.004258294965311</v>
      </c>
      <c r="D42" s="15">
        <f>IF(COUNT(D7:D41) &gt; 0, AVERAGE(D7:D41), "—")</f>
        <v>613.84375</v>
      </c>
      <c r="E42" s="14">
        <f>IF(COUNT(E7:E41) &gt; 0, AVERAGE(E7:E41), "—")</f>
        <v>30.3972585721875</v>
      </c>
      <c r="F42" s="16">
        <f>IF(COUNT(F7:F41) &gt; 0, SQRT(SUMSQ(F7:F41)/(COUNT(F7:F41)*COUNT(F7:F41)) ), "—")</f>
        <v>0.37524656217359553</v>
      </c>
      <c r="G42" s="14">
        <f>IF(COUNT(G7:G41) &gt; 0, AVERAGE(G7:G41), "—")</f>
        <v>13.208684898437498</v>
      </c>
      <c r="H42" s="16">
        <f>IF(COUNT(H7:H41) &gt; 0, SQRT(SUMSQ(H7:H41)/(COUNT(H7:H41)*COUNT(H7:H41)) ), "—")</f>
        <v>0.26868057266577267</v>
      </c>
      <c r="I42" s="14">
        <f>IF(COUNT(I7:I41) &gt; 0, AVERAGE(I7:I41), "—")</f>
        <v>56.394056527500005</v>
      </c>
      <c r="J42" s="16">
        <f>IF(COUNT(J7:J41) &gt; 0, SQRT(SUMSQ(J7:J41)/(COUNT(J7:J41)*COUNT(J7:J41)) ), "—")</f>
        <v>0.40097485035055069</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(10357/B46*100)</f>
        <v>85.786465667191266</v>
      </c>
      <c r="D46" s="15">
        <v>1716</v>
      </c>
      <c r="E46" s="14">
        <v>51.877499280000002</v>
      </c>
      <c r="F46" s="16">
        <v>1.73842831</v>
      </c>
      <c r="G46" s="14">
        <v>8.9715714500000008</v>
      </c>
      <c r="H46" s="16">
        <v>0.89850786999999999</v>
      </c>
      <c r="I46" s="14">
        <v>39.150929269999999</v>
      </c>
      <c r="J46" s="16">
        <v>1.5798983799999999</v>
      </c>
      <c r="K46" s="14" t="s">
        <v>139</v>
      </c>
      <c r="L46" s="16" t="s">
        <v>139</v>
      </c>
      <c r="M46" s="14">
        <v>0</v>
      </c>
      <c r="N46" s="16">
        <v>0</v>
      </c>
      <c r="O46" s="14">
        <v>0</v>
      </c>
      <c r="P46" s="16">
        <v>0</v>
      </c>
      <c r="Q46" s="14">
        <v>0</v>
      </c>
      <c r="R46" s="16">
        <v>0</v>
      </c>
      <c r="S46" s="14">
        <v>0</v>
      </c>
      <c r="T46" s="16">
        <v>0</v>
      </c>
    </row>
    <row r="47" spans="1:20" x14ac:dyDescent="0.25">
      <c r="A47" s="11" t="s">
        <v>180</v>
      </c>
      <c r="B47" s="13">
        <v>2823</v>
      </c>
      <c r="C47" s="14">
        <f>(2337/B47*100)</f>
        <v>82.784272051009566</v>
      </c>
      <c r="D47" s="15">
        <v>486</v>
      </c>
      <c r="E47" s="14">
        <v>40.717045329999998</v>
      </c>
      <c r="F47" s="16">
        <v>2.3758606599999998</v>
      </c>
      <c r="G47" s="14">
        <v>10.97381481</v>
      </c>
      <c r="H47" s="16">
        <v>1.4819840200000001</v>
      </c>
      <c r="I47" s="14">
        <v>48.309139850000001</v>
      </c>
      <c r="J47" s="16">
        <v>2.6304019300000001</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(3884/B48*100)</f>
        <v>82.956001708671508</v>
      </c>
      <c r="D48" s="15">
        <v>798</v>
      </c>
      <c r="E48" s="14">
        <v>26.886803029999999</v>
      </c>
      <c r="F48" s="16">
        <v>2.2743875600000001</v>
      </c>
      <c r="G48" s="14">
        <v>6.9548976800000002</v>
      </c>
      <c r="H48" s="16">
        <v>1.0801179599999999</v>
      </c>
      <c r="I48" s="14">
        <v>66.158299290000002</v>
      </c>
      <c r="J48" s="16">
        <v>2.5520450399999999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(5148/B50*100)</f>
        <v>83.598570964598892</v>
      </c>
      <c r="D50" s="15">
        <v>1010</v>
      </c>
      <c r="E50" s="14">
        <v>46.646273989999997</v>
      </c>
      <c r="F50" s="16">
        <v>2.0797110299999999</v>
      </c>
      <c r="G50" s="14">
        <v>15.79806868</v>
      </c>
      <c r="H50" s="16">
        <v>1.5753159800000001</v>
      </c>
      <c r="I50" s="14">
        <v>37.555657330000003</v>
      </c>
      <c r="J50" s="16">
        <v>1.8948750000000001</v>
      </c>
      <c r="K50" s="14" t="s">
        <v>139</v>
      </c>
      <c r="L50" s="16" t="s">
        <v>139</v>
      </c>
      <c r="M50" s="14">
        <v>0</v>
      </c>
      <c r="N50" s="16">
        <v>0</v>
      </c>
      <c r="O50" s="14">
        <v>0</v>
      </c>
      <c r="P50" s="16">
        <v>0</v>
      </c>
      <c r="Q50" s="14">
        <v>0</v>
      </c>
      <c r="R50" s="16">
        <v>0</v>
      </c>
      <c r="S50" s="14">
        <v>0</v>
      </c>
      <c r="T50" s="16">
        <v>0</v>
      </c>
    </row>
    <row r="51" spans="1:20" x14ac:dyDescent="0.25">
      <c r="A51" s="11" t="s">
        <v>184</v>
      </c>
      <c r="B51" s="13">
        <v>3494</v>
      </c>
      <c r="C51" s="14">
        <f>(2986/B51*100)</f>
        <v>85.460789925586724</v>
      </c>
      <c r="D51" s="15">
        <v>508</v>
      </c>
      <c r="E51" s="14">
        <v>38.979328709999997</v>
      </c>
      <c r="F51" s="16">
        <v>1.9884122200000001</v>
      </c>
      <c r="G51" s="14">
        <v>16.52576814</v>
      </c>
      <c r="H51" s="16">
        <v>1.71090853</v>
      </c>
      <c r="I51" s="14">
        <v>44.494903149999999</v>
      </c>
      <c r="J51" s="16">
        <v>2.43619465</v>
      </c>
      <c r="K51" s="14" t="s">
        <v>139</v>
      </c>
      <c r="L51" s="16" t="s">
        <v>139</v>
      </c>
      <c r="M51" s="14">
        <v>0</v>
      </c>
      <c r="N51" s="16">
        <v>0</v>
      </c>
      <c r="O51" s="14">
        <v>0</v>
      </c>
      <c r="P51" s="16">
        <v>0</v>
      </c>
      <c r="Q51" s="14">
        <v>0</v>
      </c>
      <c r="R51" s="16">
        <v>0</v>
      </c>
      <c r="S51" s="14">
        <v>0</v>
      </c>
      <c r="T51" s="16">
        <v>0</v>
      </c>
    </row>
    <row r="52" spans="1:20" x14ac:dyDescent="0.25">
      <c r="A52" s="11" t="s">
        <v>185</v>
      </c>
      <c r="B52" s="13">
        <v>3013</v>
      </c>
      <c r="C52" s="14">
        <f>(2495/B52*100)</f>
        <v>82.80783272485894</v>
      </c>
      <c r="D52" s="15">
        <v>518</v>
      </c>
      <c r="E52" s="14">
        <v>38.061579600000002</v>
      </c>
      <c r="F52" s="16">
        <v>2.0669754400000002</v>
      </c>
      <c r="G52" s="14">
        <v>6.2887853099999997</v>
      </c>
      <c r="H52" s="16">
        <v>1.02393467</v>
      </c>
      <c r="I52" s="14">
        <v>55.649635080000003</v>
      </c>
      <c r="J52" s="16">
        <v>2.1009026099999999</v>
      </c>
      <c r="K52" s="14" t="s">
        <v>139</v>
      </c>
      <c r="L52" s="16" t="s">
        <v>139</v>
      </c>
      <c r="M52" s="14">
        <v>0</v>
      </c>
      <c r="N52" s="16">
        <v>0</v>
      </c>
      <c r="O52" s="14">
        <v>0</v>
      </c>
      <c r="P52" s="16">
        <v>0</v>
      </c>
      <c r="Q52" s="14">
        <v>0</v>
      </c>
      <c r="R52" s="16">
        <v>0</v>
      </c>
      <c r="S52" s="14">
        <v>0</v>
      </c>
      <c r="T52" s="16">
        <v>0</v>
      </c>
    </row>
    <row r="53" spans="1:20" x14ac:dyDescent="0.25">
      <c r="A53" s="11" t="s">
        <v>186</v>
      </c>
      <c r="B53" s="13">
        <v>2760</v>
      </c>
      <c r="C53" s="14">
        <f>(2306/B53*100)</f>
        <v>83.550724637681157</v>
      </c>
      <c r="D53" s="15">
        <v>454</v>
      </c>
      <c r="E53" s="14">
        <v>40.313764409999997</v>
      </c>
      <c r="F53" s="16">
        <v>2.61394094</v>
      </c>
      <c r="G53" s="14">
        <v>10.89879985</v>
      </c>
      <c r="H53" s="16">
        <v>1.5703998299999999</v>
      </c>
      <c r="I53" s="14">
        <v>48.78743575</v>
      </c>
      <c r="J53" s="16">
        <v>2.66191237</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(2207/B56*100)</f>
        <v>82.504672897196258</v>
      </c>
      <c r="D56" s="15">
        <v>468</v>
      </c>
      <c r="E56" s="14">
        <v>28.62898551</v>
      </c>
      <c r="F56" s="16">
        <v>2.37357942</v>
      </c>
      <c r="G56" s="14">
        <v>7.5836667799999997</v>
      </c>
      <c r="H56" s="16">
        <v>1.3755673399999999</v>
      </c>
      <c r="I56" s="14">
        <v>63.787347699999998</v>
      </c>
      <c r="J56" s="16">
        <v>2.59281329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(2646/B61*100)</f>
        <v>82.661668228678536</v>
      </c>
      <c r="D61" s="15">
        <v>555</v>
      </c>
      <c r="E61" s="14">
        <v>34.002297820000003</v>
      </c>
      <c r="F61" s="16">
        <v>2.0248261699999999</v>
      </c>
      <c r="G61" s="14">
        <v>9.3216946499999995</v>
      </c>
      <c r="H61" s="16">
        <v>1.4703460699999999</v>
      </c>
      <c r="I61" s="14">
        <v>56.676007540000001</v>
      </c>
      <c r="J61" s="16">
        <v>2.2072668900000001</v>
      </c>
      <c r="K61" s="14" t="s">
        <v>139</v>
      </c>
      <c r="L61" s="16" t="s">
        <v>139</v>
      </c>
      <c r="M61" s="14">
        <v>0</v>
      </c>
      <c r="N61" s="16">
        <v>0</v>
      </c>
      <c r="O61" s="14">
        <v>0</v>
      </c>
      <c r="P61" s="16">
        <v>0</v>
      </c>
      <c r="Q61" s="14">
        <v>0</v>
      </c>
      <c r="R61" s="16">
        <v>0</v>
      </c>
      <c r="S61" s="14">
        <v>0</v>
      </c>
      <c r="T61" s="16">
        <v>0</v>
      </c>
    </row>
    <row r="62" spans="1:20" x14ac:dyDescent="0.25">
      <c r="A62" s="11" t="s">
        <v>195</v>
      </c>
      <c r="B62" s="13">
        <v>2230</v>
      </c>
      <c r="C62" s="14">
        <f>(1858/B62*100)</f>
        <v>83.318385650224215</v>
      </c>
      <c r="D62" s="15">
        <v>372</v>
      </c>
      <c r="E62" s="14">
        <v>30.434093140000002</v>
      </c>
      <c r="F62" s="16">
        <v>2.3739515</v>
      </c>
      <c r="G62" s="14">
        <v>4.0314454099999999</v>
      </c>
      <c r="H62" s="16">
        <v>1.17915477</v>
      </c>
      <c r="I62" s="14">
        <v>65.534461449999995</v>
      </c>
      <c r="J62" s="16">
        <v>2.6263182</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(2291/B66*100)</f>
        <v>82.677733670155177</v>
      </c>
      <c r="D66" s="15">
        <v>480</v>
      </c>
      <c r="E66" s="14">
        <v>54.840137310000003</v>
      </c>
      <c r="F66" s="16">
        <v>2.3665490600000001</v>
      </c>
      <c r="G66" s="14">
        <v>10.85758079</v>
      </c>
      <c r="H66" s="16">
        <v>1.5344287000000001</v>
      </c>
      <c r="I66" s="14">
        <v>34.302281899999997</v>
      </c>
      <c r="J66" s="16">
        <v>2.36370798</v>
      </c>
      <c r="K66" s="14" t="s">
        <v>139</v>
      </c>
      <c r="L66" s="16" t="s">
        <v>139</v>
      </c>
      <c r="M66" s="14">
        <v>0</v>
      </c>
      <c r="N66" s="16">
        <v>0</v>
      </c>
      <c r="O66" s="14">
        <v>0</v>
      </c>
      <c r="P66" s="16">
        <v>0</v>
      </c>
      <c r="Q66" s="14">
        <v>0</v>
      </c>
      <c r="R66" s="16">
        <v>0</v>
      </c>
      <c r="S66" s="14">
        <v>0</v>
      </c>
      <c r="T66" s="16">
        <v>0</v>
      </c>
    </row>
    <row r="67" spans="1:20" x14ac:dyDescent="0.25">
      <c r="A67" s="11" t="s">
        <v>200</v>
      </c>
      <c r="B67" s="13">
        <v>3460</v>
      </c>
      <c r="C67" s="14">
        <f>(2946/B67*100)</f>
        <v>85.144508670520239</v>
      </c>
      <c r="D67" s="15">
        <v>514</v>
      </c>
      <c r="E67" s="14">
        <v>42.232266979999999</v>
      </c>
      <c r="F67" s="16">
        <v>1.9808866199999999</v>
      </c>
      <c r="G67" s="14">
        <v>13.727412360000001</v>
      </c>
      <c r="H67" s="16">
        <v>1.6212505100000001</v>
      </c>
      <c r="I67" s="14">
        <v>44.04032067</v>
      </c>
      <c r="J67" s="16">
        <v>2.0423567</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(2569/B70*100)</f>
        <v>82.684261345349213</v>
      </c>
      <c r="D70" s="15">
        <v>538</v>
      </c>
      <c r="E70" s="14">
        <v>34.143128419999996</v>
      </c>
      <c r="F70" s="16">
        <v>2.3998751399999998</v>
      </c>
      <c r="G70" s="14">
        <v>16.469678049999999</v>
      </c>
      <c r="H70" s="16">
        <v>1.77937345</v>
      </c>
      <c r="I70" s="14">
        <v>49.387193529999998</v>
      </c>
      <c r="J70" s="16">
        <v>2.4538778400000001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(3157/B72*100)</f>
        <v>82.665619272060752</v>
      </c>
      <c r="D72" s="15">
        <v>662</v>
      </c>
      <c r="E72" s="14">
        <v>28.473002449999999</v>
      </c>
      <c r="F72" s="16">
        <v>1.86771434</v>
      </c>
      <c r="G72" s="14">
        <v>6.2822290799999996</v>
      </c>
      <c r="H72" s="16">
        <v>1.0266252899999999</v>
      </c>
      <c r="I72" s="14">
        <v>65.244768469999997</v>
      </c>
      <c r="J72" s="16">
        <v>1.9284140400000001</v>
      </c>
      <c r="K72" s="14" t="s">
        <v>139</v>
      </c>
      <c r="L72" s="16" t="s">
        <v>139</v>
      </c>
      <c r="M72" s="14">
        <v>0</v>
      </c>
      <c r="N72" s="16">
        <v>0</v>
      </c>
      <c r="O72" s="14">
        <v>0</v>
      </c>
      <c r="P72" s="16">
        <v>0</v>
      </c>
      <c r="Q72" s="14">
        <v>0</v>
      </c>
      <c r="R72" s="16">
        <v>0</v>
      </c>
      <c r="S72" s="14">
        <v>0</v>
      </c>
      <c r="T72" s="16">
        <v>0</v>
      </c>
    </row>
    <row r="73" spans="1:20" x14ac:dyDescent="0.25">
      <c r="A73" s="11" t="s">
        <v>206</v>
      </c>
      <c r="B73" s="13">
        <v>4652</v>
      </c>
      <c r="C73" s="14">
        <f>(3903/B73*100)</f>
        <v>83.899398108340492</v>
      </c>
      <c r="D73" s="15">
        <v>749</v>
      </c>
      <c r="E73" s="14">
        <v>30.50124688</v>
      </c>
      <c r="F73" s="16">
        <v>2.3402149300000001</v>
      </c>
      <c r="G73" s="14">
        <v>10.43922938</v>
      </c>
      <c r="H73" s="16">
        <v>1.3181503999999999</v>
      </c>
      <c r="I73" s="14">
        <v>59.059523740000003</v>
      </c>
      <c r="J73" s="16">
        <v>2.6350421599999998</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(2508/B75*100)</f>
        <v>84.472886493768954</v>
      </c>
      <c r="D75" s="15">
        <v>461</v>
      </c>
      <c r="E75" s="14">
        <v>58.109532440000002</v>
      </c>
      <c r="F75" s="16">
        <v>2.2349711299999999</v>
      </c>
      <c r="G75" s="14">
        <v>8.3295219800000009</v>
      </c>
      <c r="H75" s="16">
        <v>1.322171</v>
      </c>
      <c r="I75" s="14">
        <v>33.560945580000002</v>
      </c>
      <c r="J75" s="16">
        <v>2.1689205600000001</v>
      </c>
      <c r="K75" s="14" t="s">
        <v>139</v>
      </c>
      <c r="L75" s="16" t="s">
        <v>139</v>
      </c>
      <c r="M75" s="14">
        <v>0</v>
      </c>
      <c r="N75" s="16">
        <v>0</v>
      </c>
      <c r="O75" s="14">
        <v>0</v>
      </c>
      <c r="P75" s="16">
        <v>0</v>
      </c>
      <c r="Q75" s="14">
        <v>0</v>
      </c>
      <c r="R75" s="16">
        <v>0</v>
      </c>
      <c r="S75" s="14">
        <v>0</v>
      </c>
      <c r="T75" s="16">
        <v>0</v>
      </c>
    </row>
    <row r="76" spans="1:20" x14ac:dyDescent="0.25">
      <c r="A76" s="11" t="s">
        <v>209</v>
      </c>
      <c r="B76" s="13">
        <v>7115</v>
      </c>
      <c r="C76" s="14">
        <f>(5907/B76*100)</f>
        <v>83.021784961349269</v>
      </c>
      <c r="D76" s="15">
        <v>1208</v>
      </c>
      <c r="E76" s="14">
        <v>38.221064230000003</v>
      </c>
      <c r="F76" s="16">
        <v>2.0090504</v>
      </c>
      <c r="G76" s="14">
        <v>11.43463609</v>
      </c>
      <c r="H76" s="16">
        <v>1.55210805</v>
      </c>
      <c r="I76" s="14">
        <v>50.344299669999998</v>
      </c>
      <c r="J76" s="16">
        <v>2.0583093099999998</v>
      </c>
      <c r="K76" s="14" t="s">
        <v>139</v>
      </c>
      <c r="L76" s="16" t="s">
        <v>139</v>
      </c>
      <c r="M76" s="14">
        <v>0</v>
      </c>
      <c r="N76" s="16">
        <v>0</v>
      </c>
      <c r="O76" s="14">
        <v>0</v>
      </c>
      <c r="P76" s="16">
        <v>0</v>
      </c>
      <c r="Q76" s="14">
        <v>0</v>
      </c>
      <c r="R76" s="16">
        <v>0</v>
      </c>
      <c r="S76" s="14">
        <v>0</v>
      </c>
      <c r="T76" s="16">
        <v>0</v>
      </c>
    </row>
    <row r="77" spans="1:20" x14ac:dyDescent="0.25">
      <c r="A77" s="11" t="s">
        <v>210</v>
      </c>
      <c r="B77" s="13">
        <v>3154</v>
      </c>
      <c r="C77" s="14">
        <f>(2619/B77*100)</f>
        <v>83.037412809131268</v>
      </c>
      <c r="D77" s="15">
        <v>535</v>
      </c>
      <c r="E77" s="14">
        <v>47.050994430000003</v>
      </c>
      <c r="F77" s="16">
        <v>2.5264403299999998</v>
      </c>
      <c r="G77" s="14">
        <v>17.79347864</v>
      </c>
      <c r="H77" s="16">
        <v>1.67587431</v>
      </c>
      <c r="I77" s="14">
        <v>35.155526930000001</v>
      </c>
      <c r="J77" s="16">
        <v>2.46950717</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(3893/B81*100)</f>
        <v>82.865048957002983</v>
      </c>
      <c r="D81" s="15">
        <v>805</v>
      </c>
      <c r="E81" s="14">
        <v>37.501707619999998</v>
      </c>
      <c r="F81" s="16">
        <v>2.2183265400000001</v>
      </c>
      <c r="G81" s="14">
        <v>11.58342768</v>
      </c>
      <c r="H81" s="16">
        <v>1.5201293600000001</v>
      </c>
      <c r="I81" s="14">
        <v>50.914864700000003</v>
      </c>
      <c r="J81" s="16">
        <v>1.8399258300000001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331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(5930/B7*100)</f>
        <v>82.786541951696208</v>
      </c>
      <c r="D7" s="15">
        <v>1233</v>
      </c>
      <c r="E7" s="14">
        <v>44.403255190000003</v>
      </c>
      <c r="F7" s="16">
        <v>1.6506534100000001</v>
      </c>
      <c r="G7" s="14">
        <v>55.596744809999997</v>
      </c>
      <c r="H7" s="16">
        <v>1.6506534100000001</v>
      </c>
      <c r="I7" s="14" t="s">
        <v>139</v>
      </c>
      <c r="J7" s="16" t="s">
        <v>139</v>
      </c>
      <c r="K7" s="14">
        <v>0</v>
      </c>
      <c r="L7" s="16">
        <v>0</v>
      </c>
      <c r="M7" s="14">
        <v>0</v>
      </c>
      <c r="N7" s="16">
        <v>0</v>
      </c>
      <c r="O7" s="14">
        <v>0</v>
      </c>
      <c r="P7" s="16">
        <v>0</v>
      </c>
      <c r="Q7" s="14">
        <v>0</v>
      </c>
      <c r="R7" s="16">
        <v>0</v>
      </c>
    </row>
    <row r="8" spans="1:18" x14ac:dyDescent="0.25">
      <c r="A8" s="11" t="s">
        <v>140</v>
      </c>
      <c r="B8" s="13">
        <v>3443</v>
      </c>
      <c r="C8" s="14">
        <f>(2831/B8*100)</f>
        <v>82.224803950043565</v>
      </c>
      <c r="D8" s="15">
        <v>612</v>
      </c>
      <c r="E8" s="14">
        <v>36.228779690000003</v>
      </c>
      <c r="F8" s="16">
        <v>2.2890848500000001</v>
      </c>
      <c r="G8" s="14">
        <v>63.771220309999997</v>
      </c>
      <c r="H8" s="16">
        <v>2.2890848500000001</v>
      </c>
      <c r="I8" s="14" t="s">
        <v>139</v>
      </c>
      <c r="J8" s="16" t="s">
        <v>139</v>
      </c>
      <c r="K8" s="14">
        <v>0</v>
      </c>
      <c r="L8" s="16">
        <v>0</v>
      </c>
      <c r="M8" s="14">
        <v>0</v>
      </c>
      <c r="N8" s="16">
        <v>0</v>
      </c>
      <c r="O8" s="14">
        <v>0</v>
      </c>
      <c r="P8" s="16">
        <v>0</v>
      </c>
      <c r="Q8" s="14">
        <v>0</v>
      </c>
      <c r="R8" s="16">
        <v>0</v>
      </c>
    </row>
    <row r="9" spans="1:18" x14ac:dyDescent="0.25">
      <c r="A9" s="11" t="s">
        <v>141</v>
      </c>
      <c r="B9" s="13">
        <v>4752</v>
      </c>
      <c r="C9" s="14">
        <f>(3971/B9*100)</f>
        <v>83.56481481481481</v>
      </c>
      <c r="D9" s="15">
        <v>781</v>
      </c>
      <c r="E9" s="14">
        <v>31.335577650000001</v>
      </c>
      <c r="F9" s="16">
        <v>1.9942825900000001</v>
      </c>
      <c r="G9" s="14">
        <v>68.664422349999995</v>
      </c>
      <c r="H9" s="16">
        <v>1.9942825900000001</v>
      </c>
      <c r="I9" s="14" t="s">
        <v>139</v>
      </c>
      <c r="J9" s="16" t="s">
        <v>139</v>
      </c>
      <c r="K9" s="14">
        <v>0</v>
      </c>
      <c r="L9" s="16">
        <v>0</v>
      </c>
      <c r="M9" s="14">
        <v>0</v>
      </c>
      <c r="N9" s="16">
        <v>0</v>
      </c>
      <c r="O9" s="14">
        <v>0</v>
      </c>
      <c r="P9" s="16">
        <v>0</v>
      </c>
      <c r="Q9" s="14">
        <v>0</v>
      </c>
      <c r="R9" s="16">
        <v>0</v>
      </c>
    </row>
    <row r="10" spans="1:18" x14ac:dyDescent="0.25">
      <c r="A10" s="11" t="s">
        <v>142</v>
      </c>
      <c r="B10" s="13">
        <v>10022</v>
      </c>
      <c r="C10" s="14">
        <f>(8308/B10*100)</f>
        <v>82.897625224506086</v>
      </c>
      <c r="D10" s="15">
        <v>1714</v>
      </c>
      <c r="E10" s="14">
        <v>39.467948569999997</v>
      </c>
      <c r="F10" s="16">
        <v>1.63415194</v>
      </c>
      <c r="G10" s="14">
        <v>60.532051430000003</v>
      </c>
      <c r="H10" s="16">
        <v>1.63415194</v>
      </c>
      <c r="I10" s="14" t="s">
        <v>139</v>
      </c>
      <c r="J10" s="16" t="s">
        <v>139</v>
      </c>
      <c r="K10" s="14">
        <v>0</v>
      </c>
      <c r="L10" s="16">
        <v>0</v>
      </c>
      <c r="M10" s="14">
        <v>0</v>
      </c>
      <c r="N10" s="16">
        <v>0</v>
      </c>
      <c r="O10" s="14">
        <v>0</v>
      </c>
      <c r="P10" s="16">
        <v>0</v>
      </c>
      <c r="Q10" s="14">
        <v>0</v>
      </c>
      <c r="R10" s="16">
        <v>0</v>
      </c>
    </row>
    <row r="11" spans="1:18" x14ac:dyDescent="0.25">
      <c r="A11" s="11" t="s">
        <v>143</v>
      </c>
      <c r="B11" s="13">
        <v>3500</v>
      </c>
      <c r="C11" s="14">
        <f>(2893/B11*100)</f>
        <v>82.657142857142858</v>
      </c>
      <c r="D11" s="15">
        <v>607</v>
      </c>
      <c r="E11" s="14">
        <v>42.603857830000003</v>
      </c>
      <c r="F11" s="16">
        <v>2.2361178499999999</v>
      </c>
      <c r="G11" s="14">
        <v>57.396142169999997</v>
      </c>
      <c r="H11" s="16">
        <v>2.2361178499999999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(2868/B12*100)</f>
        <v>83.810637054354174</v>
      </c>
      <c r="D12" s="15">
        <v>554</v>
      </c>
      <c r="E12" s="14">
        <v>36.606592749999997</v>
      </c>
      <c r="F12" s="16">
        <v>2.5362597</v>
      </c>
      <c r="G12" s="14">
        <v>63.393407250000003</v>
      </c>
      <c r="H12" s="16">
        <v>2.5362597</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(3005/B13*100)</f>
        <v>83.425874514158807</v>
      </c>
      <c r="D13" s="15">
        <v>597</v>
      </c>
      <c r="E13" s="14">
        <v>38.702500530000002</v>
      </c>
      <c r="F13" s="16">
        <v>2.2611176799999999</v>
      </c>
      <c r="G13" s="14">
        <v>61.297499469999998</v>
      </c>
      <c r="H13" s="16">
        <v>2.2611176799999999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(2306/B14*100)</f>
        <v>82.711621233859404</v>
      </c>
      <c r="D14" s="15">
        <v>482</v>
      </c>
      <c r="E14" s="14">
        <v>34.699017959999999</v>
      </c>
      <c r="F14" s="16">
        <v>2.4749734000000001</v>
      </c>
      <c r="G14" s="14">
        <v>65.300982039999994</v>
      </c>
      <c r="H14" s="16">
        <v>2.4749734000000001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(2364/B15*100)</f>
        <v>82.570730003492841</v>
      </c>
      <c r="D15" s="15">
        <v>499</v>
      </c>
      <c r="E15" s="14">
        <v>26.51057896</v>
      </c>
      <c r="F15" s="16">
        <v>2.1870293099999998</v>
      </c>
      <c r="G15" s="14">
        <v>73.489421039999996</v>
      </c>
      <c r="H15" s="16">
        <v>2.1870293099999998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(2570/B16*100)</f>
        <v>82.610093217614917</v>
      </c>
      <c r="D16" s="15">
        <v>541</v>
      </c>
      <c r="E16" s="14">
        <v>34.58830227</v>
      </c>
      <c r="F16" s="16">
        <v>2.1546704800000001</v>
      </c>
      <c r="G16" s="14">
        <v>65.41169773</v>
      </c>
      <c r="H16" s="16">
        <v>2.1546704800000001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(2623/B17*100)</f>
        <v>82.045667813575236</v>
      </c>
      <c r="D17" s="15">
        <v>574</v>
      </c>
      <c r="E17" s="14">
        <v>34.502328220000003</v>
      </c>
      <c r="F17" s="16">
        <v>2.1275847799999998</v>
      </c>
      <c r="G17" s="14">
        <v>65.497671780000005</v>
      </c>
      <c r="H17" s="16">
        <v>2.1275847799999998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(2235/B18*100)</f>
        <v>82.594235033259423</v>
      </c>
      <c r="D18" s="15">
        <v>471</v>
      </c>
      <c r="E18" s="14">
        <v>34.557548779999998</v>
      </c>
      <c r="F18" s="16">
        <v>2.0544577500000001</v>
      </c>
      <c r="G18" s="14">
        <v>65.442451219999995</v>
      </c>
      <c r="H18" s="16">
        <v>2.0544577500000001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(2366/B19*100)</f>
        <v>83.017543859649123</v>
      </c>
      <c r="D19" s="15">
        <v>484</v>
      </c>
      <c r="E19" s="14">
        <v>28.603952230000001</v>
      </c>
      <c r="F19" s="16">
        <v>2.1957501000000001</v>
      </c>
      <c r="G19" s="14">
        <v>71.396047769999996</v>
      </c>
      <c r="H19" s="16">
        <v>2.1957501000000001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(1442/B20*100)</f>
        <v>82.825962090752441</v>
      </c>
      <c r="D20" s="15">
        <v>299</v>
      </c>
      <c r="E20" s="14">
        <v>33.276536649999997</v>
      </c>
      <c r="F20" s="16">
        <v>2.7422984399999999</v>
      </c>
      <c r="G20" s="14">
        <v>66.723463350000003</v>
      </c>
      <c r="H20" s="16">
        <v>2.7422984399999999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(3135/B22*100)</f>
        <v>85.492227979274617</v>
      </c>
      <c r="D22" s="15">
        <v>532</v>
      </c>
      <c r="E22" s="14">
        <v>43.409515329999998</v>
      </c>
      <c r="F22" s="16">
        <v>2.4525772699999999</v>
      </c>
      <c r="G22" s="14">
        <v>56.590484670000002</v>
      </c>
      <c r="H22" s="16">
        <v>2.4525772699999999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(4796/B23*100)</f>
        <v>82.803867403314911</v>
      </c>
      <c r="D23" s="15">
        <v>996</v>
      </c>
      <c r="E23" s="14">
        <v>45.942224520000003</v>
      </c>
      <c r="F23" s="16">
        <v>2.8014953299999998</v>
      </c>
      <c r="G23" s="14">
        <v>54.057775479999997</v>
      </c>
      <c r="H23" s="16">
        <v>2.8014953299999998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(2718/B24*100)</f>
        <v>82.139619220308248</v>
      </c>
      <c r="D24" s="15">
        <v>591</v>
      </c>
      <c r="E24" s="14">
        <v>23.070788369999999</v>
      </c>
      <c r="F24" s="16">
        <v>1.7640718099999999</v>
      </c>
      <c r="G24" s="14">
        <v>76.929211629999998</v>
      </c>
      <c r="H24" s="16">
        <v>1.7640718099999999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29.039752279999998</v>
      </c>
      <c r="F25" s="16">
        <v>2.4556956699999999</v>
      </c>
      <c r="G25" s="14">
        <v>70.960247719999998</v>
      </c>
      <c r="H25" s="16">
        <v>2.4556956699999999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(1989/B26*100)</f>
        <v>82.224059528730876</v>
      </c>
      <c r="D26" s="15">
        <v>430</v>
      </c>
      <c r="E26" s="14">
        <v>23.489070330000001</v>
      </c>
      <c r="F26" s="16">
        <v>1.9882777700000001</v>
      </c>
      <c r="G26" s="14">
        <v>76.510929669999996</v>
      </c>
      <c r="H26" s="16">
        <v>1.9882777700000001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(2210/B27*100)</f>
        <v>82.370480805068951</v>
      </c>
      <c r="D27" s="15">
        <v>473</v>
      </c>
      <c r="E27" s="14">
        <v>35.737783270000001</v>
      </c>
      <c r="F27" s="16">
        <v>2.2440149100000002</v>
      </c>
      <c r="G27" s="14">
        <v>64.262216730000006</v>
      </c>
      <c r="H27" s="16">
        <v>2.2440149100000002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(3184/B28*100)</f>
        <v>83.723376281882722</v>
      </c>
      <c r="D28" s="15">
        <v>619</v>
      </c>
      <c r="E28" s="14">
        <v>44.470940300000002</v>
      </c>
      <c r="F28" s="16">
        <v>2.2223963599999998</v>
      </c>
      <c r="G28" s="14">
        <v>55.529059699999998</v>
      </c>
      <c r="H28" s="16">
        <v>2.2223963599999998</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(2264/B29*100)</f>
        <v>83.851851851851862</v>
      </c>
      <c r="D29" s="15">
        <v>436</v>
      </c>
      <c r="E29" s="14">
        <v>28.059409819999999</v>
      </c>
      <c r="F29" s="16">
        <v>1.8784573</v>
      </c>
      <c r="G29" s="14">
        <v>71.940590180000001</v>
      </c>
      <c r="H29" s="16">
        <v>1.8784573</v>
      </c>
      <c r="I29" s="14" t="s">
        <v>139</v>
      </c>
      <c r="J29" s="16" t="s">
        <v>139</v>
      </c>
      <c r="K29" s="14">
        <v>0</v>
      </c>
      <c r="L29" s="16">
        <v>0</v>
      </c>
      <c r="M29" s="14">
        <v>0</v>
      </c>
      <c r="N29" s="16">
        <v>0</v>
      </c>
      <c r="O29" s="14">
        <v>0</v>
      </c>
      <c r="P29" s="16">
        <v>0</v>
      </c>
      <c r="Q29" s="14">
        <v>0</v>
      </c>
      <c r="R29" s="16">
        <v>0</v>
      </c>
    </row>
    <row r="30" spans="1:18" x14ac:dyDescent="0.25">
      <c r="A30" s="11" t="s">
        <v>163</v>
      </c>
      <c r="B30" s="13">
        <v>2257</v>
      </c>
      <c r="C30" s="14">
        <f>(1899/B30*100)</f>
        <v>84.138236597252984</v>
      </c>
      <c r="D30" s="15">
        <v>358</v>
      </c>
      <c r="E30" s="14">
        <v>46.27144019</v>
      </c>
      <c r="F30" s="16">
        <v>3.5664292899999999</v>
      </c>
      <c r="G30" s="14">
        <v>53.72855981</v>
      </c>
      <c r="H30" s="16">
        <v>3.5664292899999999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(2245/B31*100)</f>
        <v>82.963784183296369</v>
      </c>
      <c r="D31" s="15">
        <v>461</v>
      </c>
      <c r="E31" s="14">
        <v>40.269261219999997</v>
      </c>
      <c r="F31" s="16">
        <v>2.18372228</v>
      </c>
      <c r="G31" s="14">
        <v>59.730738780000003</v>
      </c>
      <c r="H31" s="16">
        <v>2.18372228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(3042/B33*100)</f>
        <v>83.319638455217742</v>
      </c>
      <c r="D33" s="15">
        <v>609</v>
      </c>
      <c r="E33" s="14">
        <v>32.556561889999998</v>
      </c>
      <c r="F33" s="16">
        <v>1.95388042</v>
      </c>
      <c r="G33" s="14">
        <v>67.443438110000002</v>
      </c>
      <c r="H33" s="16">
        <v>1.95388042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(2538/B34*100)</f>
        <v>83.62438220757825</v>
      </c>
      <c r="D34" s="15">
        <v>497</v>
      </c>
      <c r="E34" s="14">
        <v>37.967117559999998</v>
      </c>
      <c r="F34" s="16">
        <v>2.3286516000000002</v>
      </c>
      <c r="G34" s="14">
        <v>62.032882440000002</v>
      </c>
      <c r="H34" s="16">
        <v>2.3286516000000002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39.420833530000003</v>
      </c>
      <c r="F35" s="16">
        <v>2.2237901899999999</v>
      </c>
      <c r="G35" s="14">
        <v>60.579166469999997</v>
      </c>
      <c r="H35" s="16">
        <v>2.2237901899999999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(2833/B36*100)</f>
        <v>83.225616921269093</v>
      </c>
      <c r="D36" s="15">
        <v>571</v>
      </c>
      <c r="E36" s="14">
        <v>33.9556057</v>
      </c>
      <c r="F36" s="16">
        <v>2.0665673199999999</v>
      </c>
      <c r="G36" s="14">
        <v>66.044394299999993</v>
      </c>
      <c r="H36" s="16">
        <v>2.0665673199999999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(2268/B37*100)</f>
        <v>83.046503112413035</v>
      </c>
      <c r="D37" s="15">
        <v>463</v>
      </c>
      <c r="E37" s="14">
        <v>38.13526822</v>
      </c>
      <c r="F37" s="16">
        <v>2.3570239499999999</v>
      </c>
      <c r="G37" s="14">
        <v>61.86473178</v>
      </c>
      <c r="H37" s="16">
        <v>2.3570239499999999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32.534094269999997</v>
      </c>
      <c r="F39" s="16">
        <v>2.0214799000000001</v>
      </c>
      <c r="G39" s="14">
        <v>67.465905730000003</v>
      </c>
      <c r="H39" s="16">
        <v>2.0214799000000001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(5733/B40*100)</f>
        <v>82.822883559664845</v>
      </c>
      <c r="D40" s="15">
        <v>1189</v>
      </c>
      <c r="E40" s="14">
        <v>42.058572820000002</v>
      </c>
      <c r="F40" s="16">
        <v>2.49961674</v>
      </c>
      <c r="G40" s="14">
        <v>57.941427179999998</v>
      </c>
      <c r="H40" s="16">
        <v>2.49961674</v>
      </c>
      <c r="I40" s="14" t="s">
        <v>139</v>
      </c>
      <c r="J40" s="16" t="s">
        <v>139</v>
      </c>
      <c r="K40" s="14">
        <v>0</v>
      </c>
      <c r="L40" s="16">
        <v>0</v>
      </c>
      <c r="M40" s="14">
        <v>0</v>
      </c>
      <c r="N40" s="16">
        <v>0</v>
      </c>
      <c r="O40" s="14">
        <v>0</v>
      </c>
      <c r="P40" s="16">
        <v>0</v>
      </c>
      <c r="Q40" s="14">
        <v>0</v>
      </c>
      <c r="R40" s="16">
        <v>0</v>
      </c>
    </row>
    <row r="41" spans="1:18" x14ac:dyDescent="0.25">
      <c r="A41" s="11" t="s">
        <v>174</v>
      </c>
      <c r="B41" s="13">
        <v>2854</v>
      </c>
      <c r="C41" s="14">
        <f>(2350/B41*100)</f>
        <v>82.340574632095311</v>
      </c>
      <c r="D41" s="15">
        <v>504</v>
      </c>
      <c r="E41" s="14">
        <v>55.214476359999999</v>
      </c>
      <c r="F41" s="16">
        <v>2.2240843300000002</v>
      </c>
      <c r="G41" s="14">
        <v>44.785523640000001</v>
      </c>
      <c r="H41" s="16">
        <v>2.2240843300000002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83.004258294965311</v>
      </c>
      <c r="D42" s="15">
        <f>IF(COUNT(D7:D41) &gt; 0, AVERAGE(D7:D41), "—")</f>
        <v>613.84375</v>
      </c>
      <c r="E42" s="14">
        <f>IF(COUNT(E7:E41) &gt; 0, AVERAGE(E7:E41), "—")</f>
        <v>36.490296664375002</v>
      </c>
      <c r="F42" s="16">
        <f>IF(COUNT(F7:F41) &gt; 0, SQRT(SUMSQ(F7:F41)/(COUNT(F7:F41)*COUNT(F7:F41)) ), "—")</f>
        <v>0.40146344744233137</v>
      </c>
      <c r="G42" s="14">
        <f>IF(COUNT(G7:G41) &gt; 0, AVERAGE(G7:G41), "—")</f>
        <v>63.509703335625012</v>
      </c>
      <c r="H42" s="16">
        <f>IF(COUNT(H7:H41) &gt; 0, SQRT(SUMSQ(H7:H41)/(COUNT(H7:H41)*COUNT(H7:H41)) ), "—")</f>
        <v>0.40146344744233137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(10357/B46*100)</f>
        <v>85.786465667191266</v>
      </c>
      <c r="D46" s="15">
        <v>1716</v>
      </c>
      <c r="E46" s="14">
        <v>50.238426820000001</v>
      </c>
      <c r="F46" s="16">
        <v>1.4620789300000001</v>
      </c>
      <c r="G46" s="14">
        <v>49.761573179999999</v>
      </c>
      <c r="H46" s="16">
        <v>1.4620789300000001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(2337/B47*100)</f>
        <v>82.784272051009566</v>
      </c>
      <c r="D47" s="15">
        <v>486</v>
      </c>
      <c r="E47" s="14">
        <v>35.794193440000001</v>
      </c>
      <c r="F47" s="16">
        <v>1.9724887600000001</v>
      </c>
      <c r="G47" s="14">
        <v>64.205806559999999</v>
      </c>
      <c r="H47" s="16">
        <v>1.9724887600000001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(3884/B48*100)</f>
        <v>82.956001708671508</v>
      </c>
      <c r="D48" s="15">
        <v>798</v>
      </c>
      <c r="E48" s="14">
        <v>36.231214700000002</v>
      </c>
      <c r="F48" s="16">
        <v>2.21658657</v>
      </c>
      <c r="G48" s="14">
        <v>63.768785299999998</v>
      </c>
      <c r="H48" s="16">
        <v>2.21658657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(5148/B50*100)</f>
        <v>83.598570964598892</v>
      </c>
      <c r="D50" s="15">
        <v>1010</v>
      </c>
      <c r="E50" s="14">
        <v>53.86366082</v>
      </c>
      <c r="F50" s="16">
        <v>2.0139255299999999</v>
      </c>
      <c r="G50" s="14">
        <v>46.13633918</v>
      </c>
      <c r="H50" s="16">
        <v>2.0139255299999999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(2986/B51*100)</f>
        <v>85.460789925586724</v>
      </c>
      <c r="D51" s="15">
        <v>508</v>
      </c>
      <c r="E51" s="14">
        <v>46.835429499999996</v>
      </c>
      <c r="F51" s="16">
        <v>2.3084469900000002</v>
      </c>
      <c r="G51" s="14">
        <v>53.164570500000004</v>
      </c>
      <c r="H51" s="16">
        <v>2.3084469900000002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(2495/B52*100)</f>
        <v>82.80783272485894</v>
      </c>
      <c r="D52" s="15">
        <v>518</v>
      </c>
      <c r="E52" s="14">
        <v>28.37102131</v>
      </c>
      <c r="F52" s="16">
        <v>2.2200196499999998</v>
      </c>
      <c r="G52" s="14">
        <v>71.628978689999997</v>
      </c>
      <c r="H52" s="16">
        <v>2.2200196499999998</v>
      </c>
      <c r="I52" s="14" t="s">
        <v>139</v>
      </c>
      <c r="J52" s="16" t="s">
        <v>139</v>
      </c>
      <c r="K52" s="14">
        <v>0</v>
      </c>
      <c r="L52" s="16">
        <v>0</v>
      </c>
      <c r="M52" s="14">
        <v>0</v>
      </c>
      <c r="N52" s="16">
        <v>0</v>
      </c>
      <c r="O52" s="14">
        <v>0</v>
      </c>
      <c r="P52" s="16">
        <v>0</v>
      </c>
      <c r="Q52" s="14">
        <v>0</v>
      </c>
      <c r="R52" s="16">
        <v>0</v>
      </c>
    </row>
    <row r="53" spans="1:18" x14ac:dyDescent="0.25">
      <c r="A53" s="11" t="s">
        <v>186</v>
      </c>
      <c r="B53" s="13">
        <v>2760</v>
      </c>
      <c r="C53" s="14">
        <f>(2306/B53*100)</f>
        <v>83.550724637681157</v>
      </c>
      <c r="D53" s="15">
        <v>454</v>
      </c>
      <c r="E53" s="14">
        <v>48.203101439999998</v>
      </c>
      <c r="F53" s="16">
        <v>2.4247317700000002</v>
      </c>
      <c r="G53" s="14">
        <v>51.796898560000002</v>
      </c>
      <c r="H53" s="16">
        <v>2.4247317700000002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(2207/B56*100)</f>
        <v>82.504672897196258</v>
      </c>
      <c r="D56" s="15">
        <v>468</v>
      </c>
      <c r="E56" s="14">
        <v>34.06027684</v>
      </c>
      <c r="F56" s="16">
        <v>2.1799602500000002</v>
      </c>
      <c r="G56" s="14">
        <v>65.93972316</v>
      </c>
      <c r="H56" s="16">
        <v>2.1799602500000002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(2646/B61*100)</f>
        <v>82.661668228678536</v>
      </c>
      <c r="D61" s="15">
        <v>555</v>
      </c>
      <c r="E61" s="14">
        <v>34.938994430000001</v>
      </c>
      <c r="F61" s="16">
        <v>2.4016179800000002</v>
      </c>
      <c r="G61" s="14">
        <v>65.061005570000006</v>
      </c>
      <c r="H61" s="16">
        <v>2.4016179800000002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(1858/B62*100)</f>
        <v>83.318385650224215</v>
      </c>
      <c r="D62" s="15">
        <v>372</v>
      </c>
      <c r="E62" s="14">
        <v>41.385405550000002</v>
      </c>
      <c r="F62" s="16">
        <v>2.3210669400000001</v>
      </c>
      <c r="G62" s="14">
        <v>58.614594449999998</v>
      </c>
      <c r="H62" s="16">
        <v>2.3210669400000001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(2291/B66*100)</f>
        <v>82.677733670155177</v>
      </c>
      <c r="D66" s="15">
        <v>480</v>
      </c>
      <c r="E66" s="14">
        <v>38.663696039999998</v>
      </c>
      <c r="F66" s="16">
        <v>2.2147627600000002</v>
      </c>
      <c r="G66" s="14">
        <v>61.336303960000002</v>
      </c>
      <c r="H66" s="16">
        <v>2.2147627600000002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(2946/B67*100)</f>
        <v>85.144508670520239</v>
      </c>
      <c r="D67" s="15">
        <v>514</v>
      </c>
      <c r="E67" s="14">
        <v>49.293263709999998</v>
      </c>
      <c r="F67" s="16">
        <v>2.6914487899999999</v>
      </c>
      <c r="G67" s="14">
        <v>50.706736290000002</v>
      </c>
      <c r="H67" s="16">
        <v>2.6914487899999999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(2569/B70*100)</f>
        <v>82.684261345349213</v>
      </c>
      <c r="D70" s="15">
        <v>538</v>
      </c>
      <c r="E70" s="14">
        <v>33.858079680000003</v>
      </c>
      <c r="F70" s="16">
        <v>1.8229019</v>
      </c>
      <c r="G70" s="14">
        <v>66.141920319999997</v>
      </c>
      <c r="H70" s="16">
        <v>1.8229019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(3157/B72*100)</f>
        <v>82.665619272060752</v>
      </c>
      <c r="D72" s="15">
        <v>662</v>
      </c>
      <c r="E72" s="14">
        <v>36.190849450000002</v>
      </c>
      <c r="F72" s="16">
        <v>2.0776887799999999</v>
      </c>
      <c r="G72" s="14">
        <v>63.809150549999998</v>
      </c>
      <c r="H72" s="16">
        <v>2.0776887799999999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(3903/B73*100)</f>
        <v>83.899398108340492</v>
      </c>
      <c r="D73" s="15">
        <v>749</v>
      </c>
      <c r="E73" s="14">
        <v>36.879627210000002</v>
      </c>
      <c r="F73" s="16">
        <v>2.31002273</v>
      </c>
      <c r="G73" s="14">
        <v>63.120372789999998</v>
      </c>
      <c r="H73" s="16">
        <v>2.31002273</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(2508/B75*100)</f>
        <v>84.472886493768954</v>
      </c>
      <c r="D75" s="15">
        <v>461</v>
      </c>
      <c r="E75" s="14">
        <v>68.090130130000006</v>
      </c>
      <c r="F75" s="16">
        <v>2.2389671899999999</v>
      </c>
      <c r="G75" s="14">
        <v>31.909869870000001</v>
      </c>
      <c r="H75" s="16">
        <v>2.2389671899999999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(5907/B76*100)</f>
        <v>83.021784961349269</v>
      </c>
      <c r="D76" s="15">
        <v>1208</v>
      </c>
      <c r="E76" s="14">
        <v>45.229060599999997</v>
      </c>
      <c r="F76" s="16">
        <v>2.0013180799999999</v>
      </c>
      <c r="G76" s="14">
        <v>54.770939400000003</v>
      </c>
      <c r="H76" s="16">
        <v>2.0013180799999999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(2619/B77*100)</f>
        <v>83.037412809131268</v>
      </c>
      <c r="D77" s="15">
        <v>535</v>
      </c>
      <c r="E77" s="14">
        <v>43.914406190000001</v>
      </c>
      <c r="F77" s="16">
        <v>2.3701678899999998</v>
      </c>
      <c r="G77" s="14">
        <v>56.085593809999999</v>
      </c>
      <c r="H77" s="16">
        <v>2.3701678899999998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(3893/B81*100)</f>
        <v>82.865048957002983</v>
      </c>
      <c r="D81" s="15">
        <v>805</v>
      </c>
      <c r="E81" s="14">
        <v>13.20420507</v>
      </c>
      <c r="F81" s="16">
        <v>2.0729553699999999</v>
      </c>
      <c r="G81" s="14">
        <v>4.8868043400000003</v>
      </c>
      <c r="H81" s="16">
        <v>1.31914354</v>
      </c>
      <c r="I81" s="14" t="s">
        <v>139</v>
      </c>
      <c r="J81" s="16" t="s">
        <v>139</v>
      </c>
      <c r="K81" s="14">
        <v>0</v>
      </c>
      <c r="L81" s="16">
        <v>0</v>
      </c>
      <c r="M81" s="14">
        <v>81.908990590000002</v>
      </c>
      <c r="N81" s="16">
        <v>2.30412719</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332</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(5930/B7*100)</f>
        <v>82.786541951696208</v>
      </c>
      <c r="D7" s="15">
        <v>1233</v>
      </c>
      <c r="E7" s="14">
        <v>20.613819729999999</v>
      </c>
      <c r="F7" s="16">
        <v>1.48326179</v>
      </c>
      <c r="G7" s="14">
        <v>14.85067166</v>
      </c>
      <c r="H7" s="16">
        <v>1.27891797</v>
      </c>
      <c r="I7" s="14">
        <v>64.535508609999994</v>
      </c>
      <c r="J7" s="16">
        <v>1.6053134600000001</v>
      </c>
      <c r="K7" s="14" t="s">
        <v>139</v>
      </c>
      <c r="L7" s="16" t="s">
        <v>139</v>
      </c>
      <c r="M7" s="14">
        <v>0</v>
      </c>
      <c r="N7" s="16">
        <v>0</v>
      </c>
      <c r="O7" s="14">
        <v>0</v>
      </c>
      <c r="P7" s="16">
        <v>0</v>
      </c>
      <c r="Q7" s="14">
        <v>0</v>
      </c>
      <c r="R7" s="16">
        <v>0</v>
      </c>
      <c r="S7" s="14">
        <v>0</v>
      </c>
      <c r="T7" s="16">
        <v>0</v>
      </c>
    </row>
    <row r="8" spans="1:20" x14ac:dyDescent="0.25">
      <c r="A8" s="11" t="s">
        <v>140</v>
      </c>
      <c r="B8" s="13">
        <v>3443</v>
      </c>
      <c r="C8" s="14">
        <f>(2831/B8*100)</f>
        <v>82.224803950043565</v>
      </c>
      <c r="D8" s="15">
        <v>612</v>
      </c>
      <c r="E8" s="14">
        <v>25.91521097</v>
      </c>
      <c r="F8" s="16">
        <v>1.5411561199999999</v>
      </c>
      <c r="G8" s="14">
        <v>20.756215560000001</v>
      </c>
      <c r="H8" s="16">
        <v>1.7275774800000001</v>
      </c>
      <c r="I8" s="14">
        <v>53.328573470000002</v>
      </c>
      <c r="J8" s="16">
        <v>2.0147271</v>
      </c>
      <c r="K8" s="14" t="s">
        <v>139</v>
      </c>
      <c r="L8" s="16" t="s">
        <v>139</v>
      </c>
      <c r="M8" s="14">
        <v>0</v>
      </c>
      <c r="N8" s="16">
        <v>0</v>
      </c>
      <c r="O8" s="14">
        <v>0</v>
      </c>
      <c r="P8" s="16">
        <v>0</v>
      </c>
      <c r="Q8" s="14">
        <v>0</v>
      </c>
      <c r="R8" s="16">
        <v>0</v>
      </c>
      <c r="S8" s="14">
        <v>0</v>
      </c>
      <c r="T8" s="16">
        <v>0</v>
      </c>
    </row>
    <row r="9" spans="1:20" x14ac:dyDescent="0.25">
      <c r="A9" s="11" t="s">
        <v>141</v>
      </c>
      <c r="B9" s="13">
        <v>4752</v>
      </c>
      <c r="C9" s="14">
        <f>(3971/B9*100)</f>
        <v>83.56481481481481</v>
      </c>
      <c r="D9" s="15">
        <v>781</v>
      </c>
      <c r="E9" s="14">
        <v>24.45730262</v>
      </c>
      <c r="F9" s="16">
        <v>1.6893488999999999</v>
      </c>
      <c r="G9" s="14">
        <v>20.23206738</v>
      </c>
      <c r="H9" s="16">
        <v>1.4552616700000001</v>
      </c>
      <c r="I9" s="14">
        <v>55.310630000000003</v>
      </c>
      <c r="J9" s="16">
        <v>1.8920628399999999</v>
      </c>
      <c r="K9" s="14" t="s">
        <v>139</v>
      </c>
      <c r="L9" s="16" t="s">
        <v>139</v>
      </c>
      <c r="M9" s="14">
        <v>0</v>
      </c>
      <c r="N9" s="16">
        <v>0</v>
      </c>
      <c r="O9" s="14">
        <v>0</v>
      </c>
      <c r="P9" s="16">
        <v>0</v>
      </c>
      <c r="Q9" s="14">
        <v>0</v>
      </c>
      <c r="R9" s="16">
        <v>0</v>
      </c>
      <c r="S9" s="14">
        <v>0</v>
      </c>
      <c r="T9" s="16">
        <v>0</v>
      </c>
    </row>
    <row r="10" spans="1:20" x14ac:dyDescent="0.25">
      <c r="A10" s="11" t="s">
        <v>142</v>
      </c>
      <c r="B10" s="13">
        <v>10022</v>
      </c>
      <c r="C10" s="14">
        <f>(8308/B10*100)</f>
        <v>82.897625224506086</v>
      </c>
      <c r="D10" s="15">
        <v>1714</v>
      </c>
      <c r="E10" s="14">
        <v>21.814016970000001</v>
      </c>
      <c r="F10" s="16">
        <v>1.47580921</v>
      </c>
      <c r="G10" s="14">
        <v>15.388359449999999</v>
      </c>
      <c r="H10" s="16">
        <v>1.16318476</v>
      </c>
      <c r="I10" s="14">
        <v>62.79762358</v>
      </c>
      <c r="J10" s="16">
        <v>1.5872274799999999</v>
      </c>
      <c r="K10" s="14" t="s">
        <v>139</v>
      </c>
      <c r="L10" s="16" t="s">
        <v>139</v>
      </c>
      <c r="M10" s="14">
        <v>0</v>
      </c>
      <c r="N10" s="16">
        <v>0</v>
      </c>
      <c r="O10" s="14">
        <v>0</v>
      </c>
      <c r="P10" s="16">
        <v>0</v>
      </c>
      <c r="Q10" s="14">
        <v>0</v>
      </c>
      <c r="R10" s="16">
        <v>0</v>
      </c>
      <c r="S10" s="14">
        <v>0</v>
      </c>
      <c r="T10" s="16">
        <v>0</v>
      </c>
    </row>
    <row r="11" spans="1:20" x14ac:dyDescent="0.25">
      <c r="A11" s="11" t="s">
        <v>143</v>
      </c>
      <c r="B11" s="13">
        <v>3500</v>
      </c>
      <c r="C11" s="14">
        <f>(2893/B11*100)</f>
        <v>82.657142857142858</v>
      </c>
      <c r="D11" s="15">
        <v>607</v>
      </c>
      <c r="E11" s="14">
        <v>39.53270972</v>
      </c>
      <c r="F11" s="16">
        <v>2.6506690499999999</v>
      </c>
      <c r="G11" s="14">
        <v>16.118662489999998</v>
      </c>
      <c r="H11" s="16">
        <v>1.5384841199999999</v>
      </c>
      <c r="I11" s="14">
        <v>44.348627800000003</v>
      </c>
      <c r="J11" s="16">
        <v>2.63231751</v>
      </c>
      <c r="K11" s="14" t="s">
        <v>139</v>
      </c>
      <c r="L11" s="16" t="s">
        <v>139</v>
      </c>
      <c r="M11" s="14">
        <v>0</v>
      </c>
      <c r="N11" s="16">
        <v>0</v>
      </c>
      <c r="O11" s="14">
        <v>0</v>
      </c>
      <c r="P11" s="16">
        <v>0</v>
      </c>
      <c r="Q11" s="14">
        <v>0</v>
      </c>
      <c r="R11" s="16">
        <v>0</v>
      </c>
      <c r="S11" s="14">
        <v>0</v>
      </c>
      <c r="T11" s="16">
        <v>0</v>
      </c>
    </row>
    <row r="12" spans="1:20" x14ac:dyDescent="0.25">
      <c r="A12" s="11" t="s">
        <v>144</v>
      </c>
      <c r="B12" s="13">
        <v>3422</v>
      </c>
      <c r="C12" s="14">
        <f>(2868/B12*100)</f>
        <v>83.810637054354174</v>
      </c>
      <c r="D12" s="15">
        <v>554</v>
      </c>
      <c r="E12" s="14">
        <v>15.241723410000001</v>
      </c>
      <c r="F12" s="16">
        <v>1.8757012200000001</v>
      </c>
      <c r="G12" s="14">
        <v>12.673322150000001</v>
      </c>
      <c r="H12" s="16">
        <v>1.5821596600000001</v>
      </c>
      <c r="I12" s="14">
        <v>72.084954449999998</v>
      </c>
      <c r="J12" s="16">
        <v>2.2662598100000002</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(3005/B13*100)</f>
        <v>83.425874514158807</v>
      </c>
      <c r="D13" s="15">
        <v>597</v>
      </c>
      <c r="E13" s="14">
        <v>28.63747686</v>
      </c>
      <c r="F13" s="16">
        <v>2.6638353600000002</v>
      </c>
      <c r="G13" s="14">
        <v>17.191162259999999</v>
      </c>
      <c r="H13" s="16">
        <v>1.98792345</v>
      </c>
      <c r="I13" s="14">
        <v>54.171360880000002</v>
      </c>
      <c r="J13" s="16">
        <v>2.5108333799999998</v>
      </c>
      <c r="K13" s="14" t="s">
        <v>139</v>
      </c>
      <c r="L13" s="16" t="s">
        <v>139</v>
      </c>
      <c r="M13" s="14">
        <v>0</v>
      </c>
      <c r="N13" s="16">
        <v>0</v>
      </c>
      <c r="O13" s="14">
        <v>0</v>
      </c>
      <c r="P13" s="16">
        <v>0</v>
      </c>
      <c r="Q13" s="14">
        <v>0</v>
      </c>
      <c r="R13" s="16">
        <v>0</v>
      </c>
      <c r="S13" s="14">
        <v>0</v>
      </c>
      <c r="T13" s="16">
        <v>0</v>
      </c>
    </row>
    <row r="14" spans="1:20" x14ac:dyDescent="0.25">
      <c r="A14" s="11" t="s">
        <v>146</v>
      </c>
      <c r="B14" s="13">
        <v>2788</v>
      </c>
      <c r="C14" s="14">
        <f>(2306/B14*100)</f>
        <v>82.711621233859404</v>
      </c>
      <c r="D14" s="15">
        <v>482</v>
      </c>
      <c r="E14" s="14">
        <v>17.98254768</v>
      </c>
      <c r="F14" s="16">
        <v>1.8281384000000001</v>
      </c>
      <c r="G14" s="14">
        <v>13.09108558</v>
      </c>
      <c r="H14" s="16">
        <v>1.6490790399999999</v>
      </c>
      <c r="I14" s="14">
        <v>68.926366740000006</v>
      </c>
      <c r="J14" s="16">
        <v>2.1190643599999999</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(2364/B15*100)</f>
        <v>82.570730003492841</v>
      </c>
      <c r="D15" s="15">
        <v>499</v>
      </c>
      <c r="E15" s="14">
        <v>12.707136220000001</v>
      </c>
      <c r="F15" s="16">
        <v>1.5160847799999999</v>
      </c>
      <c r="G15" s="14">
        <v>15.72094568</v>
      </c>
      <c r="H15" s="16">
        <v>1.79192749</v>
      </c>
      <c r="I15" s="14">
        <v>71.571918100000005</v>
      </c>
      <c r="J15" s="16">
        <v>2.1942071200000002</v>
      </c>
      <c r="K15" s="14" t="s">
        <v>139</v>
      </c>
      <c r="L15" s="16" t="s">
        <v>139</v>
      </c>
      <c r="M15" s="14">
        <v>0</v>
      </c>
      <c r="N15" s="16">
        <v>0</v>
      </c>
      <c r="O15" s="14">
        <v>0</v>
      </c>
      <c r="P15" s="16">
        <v>0</v>
      </c>
      <c r="Q15" s="14">
        <v>0</v>
      </c>
      <c r="R15" s="16">
        <v>0</v>
      </c>
      <c r="S15" s="14">
        <v>0</v>
      </c>
      <c r="T15" s="16">
        <v>0</v>
      </c>
    </row>
    <row r="16" spans="1:20" x14ac:dyDescent="0.25">
      <c r="A16" s="11" t="s">
        <v>148</v>
      </c>
      <c r="B16" s="13">
        <v>3111</v>
      </c>
      <c r="C16" s="14">
        <f>(2570/B16*100)</f>
        <v>82.610093217614917</v>
      </c>
      <c r="D16" s="15">
        <v>541</v>
      </c>
      <c r="E16" s="14">
        <v>29.511304599999999</v>
      </c>
      <c r="F16" s="16">
        <v>1.9813783300000001</v>
      </c>
      <c r="G16" s="14">
        <v>15.33928581</v>
      </c>
      <c r="H16" s="16">
        <v>1.3768585200000001</v>
      </c>
      <c r="I16" s="14">
        <v>55.149409589999998</v>
      </c>
      <c r="J16" s="16">
        <v>2.17978344</v>
      </c>
      <c r="K16" s="14" t="s">
        <v>139</v>
      </c>
      <c r="L16" s="16" t="s">
        <v>139</v>
      </c>
      <c r="M16" s="14">
        <v>0</v>
      </c>
      <c r="N16" s="16">
        <v>0</v>
      </c>
      <c r="O16" s="14">
        <v>0</v>
      </c>
      <c r="P16" s="16">
        <v>0</v>
      </c>
      <c r="Q16" s="14">
        <v>0</v>
      </c>
      <c r="R16" s="16">
        <v>0</v>
      </c>
      <c r="S16" s="14">
        <v>0</v>
      </c>
      <c r="T16" s="16">
        <v>0</v>
      </c>
    </row>
    <row r="17" spans="1:20" x14ac:dyDescent="0.25">
      <c r="A17" s="11" t="s">
        <v>149</v>
      </c>
      <c r="B17" s="13">
        <v>3197</v>
      </c>
      <c r="C17" s="14">
        <f>(2623/B17*100)</f>
        <v>82.045667813575236</v>
      </c>
      <c r="D17" s="15">
        <v>574</v>
      </c>
      <c r="E17" s="14">
        <v>21.083786889999999</v>
      </c>
      <c r="F17" s="16">
        <v>1.8606648299999999</v>
      </c>
      <c r="G17" s="14">
        <v>19.35075938</v>
      </c>
      <c r="H17" s="16">
        <v>1.6006096000000001</v>
      </c>
      <c r="I17" s="14">
        <v>59.565453730000002</v>
      </c>
      <c r="J17" s="16">
        <v>1.9647892</v>
      </c>
      <c r="K17" s="14" t="s">
        <v>139</v>
      </c>
      <c r="L17" s="16" t="s">
        <v>139</v>
      </c>
      <c r="M17" s="14">
        <v>0</v>
      </c>
      <c r="N17" s="16">
        <v>0</v>
      </c>
      <c r="O17" s="14">
        <v>0</v>
      </c>
      <c r="P17" s="16">
        <v>0</v>
      </c>
      <c r="Q17" s="14">
        <v>0</v>
      </c>
      <c r="R17" s="16">
        <v>0</v>
      </c>
      <c r="S17" s="14">
        <v>0</v>
      </c>
      <c r="T17" s="16">
        <v>0</v>
      </c>
    </row>
    <row r="18" spans="1:20" x14ac:dyDescent="0.25">
      <c r="A18" s="11" t="s">
        <v>150</v>
      </c>
      <c r="B18" s="13">
        <v>2706</v>
      </c>
      <c r="C18" s="14">
        <f>(2235/B18*100)</f>
        <v>82.594235033259423</v>
      </c>
      <c r="D18" s="15">
        <v>471</v>
      </c>
      <c r="E18" s="14">
        <v>37.731430369999998</v>
      </c>
      <c r="F18" s="16">
        <v>2.3787156</v>
      </c>
      <c r="G18" s="14">
        <v>24.03780837</v>
      </c>
      <c r="H18" s="16">
        <v>2.0519866100000002</v>
      </c>
      <c r="I18" s="14">
        <v>38.23076125</v>
      </c>
      <c r="J18" s="16">
        <v>2.2905484199999999</v>
      </c>
      <c r="K18" s="14" t="s">
        <v>139</v>
      </c>
      <c r="L18" s="16" t="s">
        <v>139</v>
      </c>
      <c r="M18" s="14">
        <v>0</v>
      </c>
      <c r="N18" s="16">
        <v>0</v>
      </c>
      <c r="O18" s="14">
        <v>0</v>
      </c>
      <c r="P18" s="16">
        <v>0</v>
      </c>
      <c r="Q18" s="14">
        <v>0</v>
      </c>
      <c r="R18" s="16">
        <v>0</v>
      </c>
      <c r="S18" s="14">
        <v>0</v>
      </c>
      <c r="T18" s="16">
        <v>0</v>
      </c>
    </row>
    <row r="19" spans="1:20" x14ac:dyDescent="0.25">
      <c r="A19" s="11" t="s">
        <v>151</v>
      </c>
      <c r="B19" s="13">
        <v>2850</v>
      </c>
      <c r="C19" s="14">
        <f>(2366/B19*100)</f>
        <v>83.017543859649123</v>
      </c>
      <c r="D19" s="15">
        <v>484</v>
      </c>
      <c r="E19" s="14">
        <v>25.71518369</v>
      </c>
      <c r="F19" s="16">
        <v>2.2035030600000001</v>
      </c>
      <c r="G19" s="14">
        <v>10.27311095</v>
      </c>
      <c r="H19" s="16">
        <v>1.5206430900000001</v>
      </c>
      <c r="I19" s="14">
        <v>64.011705359999993</v>
      </c>
      <c r="J19" s="16">
        <v>2.2144501399999998</v>
      </c>
      <c r="K19" s="14" t="s">
        <v>139</v>
      </c>
      <c r="L19" s="16" t="s">
        <v>139</v>
      </c>
      <c r="M19" s="14">
        <v>0</v>
      </c>
      <c r="N19" s="16">
        <v>0</v>
      </c>
      <c r="O19" s="14">
        <v>0</v>
      </c>
      <c r="P19" s="16">
        <v>0</v>
      </c>
      <c r="Q19" s="14">
        <v>0</v>
      </c>
      <c r="R19" s="16">
        <v>0</v>
      </c>
      <c r="S19" s="14">
        <v>0</v>
      </c>
      <c r="T19" s="16">
        <v>0</v>
      </c>
    </row>
    <row r="20" spans="1:20" x14ac:dyDescent="0.25">
      <c r="A20" s="11" t="s">
        <v>152</v>
      </c>
      <c r="B20" s="13">
        <v>1741</v>
      </c>
      <c r="C20" s="14">
        <f>(1442/B20*100)</f>
        <v>82.825962090752441</v>
      </c>
      <c r="D20" s="15">
        <v>299</v>
      </c>
      <c r="E20" s="14">
        <v>23.011225629999998</v>
      </c>
      <c r="F20" s="16">
        <v>2.32484321</v>
      </c>
      <c r="G20" s="14">
        <v>18.751222160000001</v>
      </c>
      <c r="H20" s="16">
        <v>2.4555490999999998</v>
      </c>
      <c r="I20" s="14">
        <v>58.237552209999997</v>
      </c>
      <c r="J20" s="16">
        <v>2.6415294399999998</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(3135/B22*100)</f>
        <v>85.492227979274617</v>
      </c>
      <c r="D22" s="15">
        <v>532</v>
      </c>
      <c r="E22" s="14">
        <v>23.901055320000001</v>
      </c>
      <c r="F22" s="16">
        <v>2.2396055399999999</v>
      </c>
      <c r="G22" s="14">
        <v>13.59469017</v>
      </c>
      <c r="H22" s="16">
        <v>1.5868833099999999</v>
      </c>
      <c r="I22" s="14">
        <v>62.504254510000003</v>
      </c>
      <c r="J22" s="16">
        <v>2.4723669099999999</v>
      </c>
      <c r="K22" s="14" t="s">
        <v>139</v>
      </c>
      <c r="L22" s="16" t="s">
        <v>139</v>
      </c>
      <c r="M22" s="14">
        <v>0</v>
      </c>
      <c r="N22" s="16">
        <v>0</v>
      </c>
      <c r="O22" s="14">
        <v>0</v>
      </c>
      <c r="P22" s="16">
        <v>0</v>
      </c>
      <c r="Q22" s="14">
        <v>0</v>
      </c>
      <c r="R22" s="16">
        <v>0</v>
      </c>
      <c r="S22" s="14">
        <v>0</v>
      </c>
      <c r="T22" s="16">
        <v>0</v>
      </c>
    </row>
    <row r="23" spans="1:20" x14ac:dyDescent="0.25">
      <c r="A23" s="11" t="s">
        <v>156</v>
      </c>
      <c r="B23" s="13">
        <v>5792</v>
      </c>
      <c r="C23" s="14">
        <f>(4796/B23*100)</f>
        <v>82.803867403314911</v>
      </c>
      <c r="D23" s="15">
        <v>996</v>
      </c>
      <c r="E23" s="14">
        <v>31.290330149999999</v>
      </c>
      <c r="F23" s="16">
        <v>2.4695042599999999</v>
      </c>
      <c r="G23" s="14">
        <v>23.82224119</v>
      </c>
      <c r="H23" s="16">
        <v>1.73231219</v>
      </c>
      <c r="I23" s="14">
        <v>44.887428669999998</v>
      </c>
      <c r="J23" s="16">
        <v>2.1304683</v>
      </c>
      <c r="K23" s="14" t="s">
        <v>139</v>
      </c>
      <c r="L23" s="16" t="s">
        <v>139</v>
      </c>
      <c r="M23" s="14">
        <v>0</v>
      </c>
      <c r="N23" s="16">
        <v>0</v>
      </c>
      <c r="O23" s="14">
        <v>0</v>
      </c>
      <c r="P23" s="16">
        <v>0</v>
      </c>
      <c r="Q23" s="14">
        <v>0</v>
      </c>
      <c r="R23" s="16">
        <v>0</v>
      </c>
      <c r="S23" s="14">
        <v>0</v>
      </c>
      <c r="T23" s="16">
        <v>0</v>
      </c>
    </row>
    <row r="24" spans="1:20" x14ac:dyDescent="0.25">
      <c r="A24" s="11" t="s">
        <v>157</v>
      </c>
      <c r="B24" s="13">
        <v>3309</v>
      </c>
      <c r="C24" s="14">
        <f>(2718/B24*100)</f>
        <v>82.139619220308248</v>
      </c>
      <c r="D24" s="15">
        <v>591</v>
      </c>
      <c r="E24" s="14">
        <v>7.9306631799999998</v>
      </c>
      <c r="F24" s="16">
        <v>1.27804216</v>
      </c>
      <c r="G24" s="14">
        <v>15.314347440000001</v>
      </c>
      <c r="H24" s="16">
        <v>1.4481165300000001</v>
      </c>
      <c r="I24" s="14">
        <v>76.754989379999998</v>
      </c>
      <c r="J24" s="16">
        <v>1.6775851799999999</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5.3534569000000003</v>
      </c>
      <c r="F25" s="16">
        <v>1.00485403</v>
      </c>
      <c r="G25" s="14">
        <v>14.007873999999999</v>
      </c>
      <c r="H25" s="16">
        <v>1.7457832600000001</v>
      </c>
      <c r="I25" s="14">
        <v>80.638669109999995</v>
      </c>
      <c r="J25" s="16">
        <v>1.95201063</v>
      </c>
      <c r="K25" s="14" t="s">
        <v>139</v>
      </c>
      <c r="L25" s="16" t="s">
        <v>139</v>
      </c>
      <c r="M25" s="14">
        <v>0</v>
      </c>
      <c r="N25" s="16">
        <v>0</v>
      </c>
      <c r="O25" s="14">
        <v>0</v>
      </c>
      <c r="P25" s="16">
        <v>0</v>
      </c>
      <c r="Q25" s="14">
        <v>0</v>
      </c>
      <c r="R25" s="16">
        <v>0</v>
      </c>
      <c r="S25" s="14">
        <v>0</v>
      </c>
      <c r="T25" s="16">
        <v>0</v>
      </c>
    </row>
    <row r="26" spans="1:20" x14ac:dyDescent="0.25">
      <c r="A26" s="11" t="s">
        <v>159</v>
      </c>
      <c r="B26" s="13">
        <v>2419</v>
      </c>
      <c r="C26" s="14">
        <f>(1989/B26*100)</f>
        <v>82.224059528730876</v>
      </c>
      <c r="D26" s="15">
        <v>430</v>
      </c>
      <c r="E26" s="14">
        <v>33.18814699</v>
      </c>
      <c r="F26" s="16">
        <v>2.20290242</v>
      </c>
      <c r="G26" s="14">
        <v>16.81226281</v>
      </c>
      <c r="H26" s="16">
        <v>1.7972332600000001</v>
      </c>
      <c r="I26" s="14">
        <v>49.9995902</v>
      </c>
      <c r="J26" s="16">
        <v>2.3827129500000002</v>
      </c>
      <c r="K26" s="14" t="s">
        <v>139</v>
      </c>
      <c r="L26" s="16" t="s">
        <v>139</v>
      </c>
      <c r="M26" s="14">
        <v>0</v>
      </c>
      <c r="N26" s="16">
        <v>0</v>
      </c>
      <c r="O26" s="14">
        <v>0</v>
      </c>
      <c r="P26" s="16">
        <v>0</v>
      </c>
      <c r="Q26" s="14">
        <v>0</v>
      </c>
      <c r="R26" s="16">
        <v>0</v>
      </c>
      <c r="S26" s="14">
        <v>0</v>
      </c>
      <c r="T26" s="16">
        <v>0</v>
      </c>
    </row>
    <row r="27" spans="1:20" x14ac:dyDescent="0.25">
      <c r="A27" s="11" t="s">
        <v>160</v>
      </c>
      <c r="B27" s="13">
        <v>2683</v>
      </c>
      <c r="C27" s="14">
        <f>(2210/B27*100)</f>
        <v>82.370480805068951</v>
      </c>
      <c r="D27" s="15">
        <v>473</v>
      </c>
      <c r="E27" s="14">
        <v>38.280705640000001</v>
      </c>
      <c r="F27" s="16">
        <v>2.23886831</v>
      </c>
      <c r="G27" s="14">
        <v>15.32748486</v>
      </c>
      <c r="H27" s="16">
        <v>1.7096979400000001</v>
      </c>
      <c r="I27" s="14">
        <v>46.391809500000001</v>
      </c>
      <c r="J27" s="16">
        <v>2.3410805799999999</v>
      </c>
      <c r="K27" s="14" t="s">
        <v>139</v>
      </c>
      <c r="L27" s="16" t="s">
        <v>139</v>
      </c>
      <c r="M27" s="14">
        <v>0</v>
      </c>
      <c r="N27" s="16">
        <v>0</v>
      </c>
      <c r="O27" s="14">
        <v>0</v>
      </c>
      <c r="P27" s="16">
        <v>0</v>
      </c>
      <c r="Q27" s="14">
        <v>0</v>
      </c>
      <c r="R27" s="16">
        <v>0</v>
      </c>
      <c r="S27" s="14">
        <v>0</v>
      </c>
      <c r="T27" s="16">
        <v>0</v>
      </c>
    </row>
    <row r="28" spans="1:20" x14ac:dyDescent="0.25">
      <c r="A28" s="11" t="s">
        <v>161</v>
      </c>
      <c r="B28" s="13">
        <v>3803</v>
      </c>
      <c r="C28" s="14">
        <f>(3184/B28*100)</f>
        <v>83.723376281882722</v>
      </c>
      <c r="D28" s="15">
        <v>619</v>
      </c>
      <c r="E28" s="14">
        <v>35.691170190000001</v>
      </c>
      <c r="F28" s="16">
        <v>2.3035194799999998</v>
      </c>
      <c r="G28" s="14">
        <v>10.931423759999999</v>
      </c>
      <c r="H28" s="16">
        <v>1.5196437300000001</v>
      </c>
      <c r="I28" s="14">
        <v>53.377406049999998</v>
      </c>
      <c r="J28" s="16">
        <v>2.4473370499999998</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(2264/B29*100)</f>
        <v>83.851851851851862</v>
      </c>
      <c r="D29" s="15">
        <v>436</v>
      </c>
      <c r="E29" s="14">
        <v>14.14926839</v>
      </c>
      <c r="F29" s="16">
        <v>1.72086461</v>
      </c>
      <c r="G29" s="14">
        <v>21.275289770000001</v>
      </c>
      <c r="H29" s="16">
        <v>2.2465292300000002</v>
      </c>
      <c r="I29" s="14">
        <v>64.575441830000003</v>
      </c>
      <c r="J29" s="16">
        <v>2.3855192299999999</v>
      </c>
      <c r="K29" s="14" t="s">
        <v>139</v>
      </c>
      <c r="L29" s="16" t="s">
        <v>139</v>
      </c>
      <c r="M29" s="14">
        <v>0</v>
      </c>
      <c r="N29" s="16">
        <v>0</v>
      </c>
      <c r="O29" s="14">
        <v>0</v>
      </c>
      <c r="P29" s="16">
        <v>0</v>
      </c>
      <c r="Q29" s="14">
        <v>0</v>
      </c>
      <c r="R29" s="16">
        <v>0</v>
      </c>
      <c r="S29" s="14">
        <v>0</v>
      </c>
      <c r="T29" s="16">
        <v>0</v>
      </c>
    </row>
    <row r="30" spans="1:20" x14ac:dyDescent="0.25">
      <c r="A30" s="11" t="s">
        <v>163</v>
      </c>
      <c r="B30" s="13">
        <v>2257</v>
      </c>
      <c r="C30" s="14">
        <f>(1899/B30*100)</f>
        <v>84.138236597252984</v>
      </c>
      <c r="D30" s="15">
        <v>358</v>
      </c>
      <c r="E30" s="14">
        <v>24.785200979999999</v>
      </c>
      <c r="F30" s="16">
        <v>2.5465333999999999</v>
      </c>
      <c r="G30" s="14">
        <v>10.313966860000001</v>
      </c>
      <c r="H30" s="16">
        <v>1.6839482299999999</v>
      </c>
      <c r="I30" s="14">
        <v>64.900832149999999</v>
      </c>
      <c r="J30" s="16">
        <v>2.4133774200000002</v>
      </c>
      <c r="K30" s="14" t="s">
        <v>139</v>
      </c>
      <c r="L30" s="16" t="s">
        <v>139</v>
      </c>
      <c r="M30" s="14">
        <v>0</v>
      </c>
      <c r="N30" s="16">
        <v>0</v>
      </c>
      <c r="O30" s="14">
        <v>0</v>
      </c>
      <c r="P30" s="16">
        <v>0</v>
      </c>
      <c r="Q30" s="14">
        <v>0</v>
      </c>
      <c r="R30" s="16">
        <v>0</v>
      </c>
      <c r="S30" s="14">
        <v>0</v>
      </c>
      <c r="T30" s="16">
        <v>0</v>
      </c>
    </row>
    <row r="31" spans="1:20" x14ac:dyDescent="0.25">
      <c r="A31" s="11" t="s">
        <v>164</v>
      </c>
      <c r="B31" s="13">
        <v>2706</v>
      </c>
      <c r="C31" s="14">
        <f>(2245/B31*100)</f>
        <v>82.963784183296369</v>
      </c>
      <c r="D31" s="15">
        <v>461</v>
      </c>
      <c r="E31" s="14">
        <v>22.584707269999999</v>
      </c>
      <c r="F31" s="16">
        <v>2.0963272100000001</v>
      </c>
      <c r="G31" s="14">
        <v>11.772971589999999</v>
      </c>
      <c r="H31" s="16">
        <v>1.5024768500000001</v>
      </c>
      <c r="I31" s="14">
        <v>65.642321140000007</v>
      </c>
      <c r="J31" s="16">
        <v>2.6552710500000001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(3042/B33*100)</f>
        <v>83.319638455217742</v>
      </c>
      <c r="D33" s="15">
        <v>609</v>
      </c>
      <c r="E33" s="14">
        <v>33.665430450000002</v>
      </c>
      <c r="F33" s="16">
        <v>2.2903730599999998</v>
      </c>
      <c r="G33" s="14">
        <v>19.73082462</v>
      </c>
      <c r="H33" s="16">
        <v>1.7176677600000001</v>
      </c>
      <c r="I33" s="14">
        <v>46.603744919999997</v>
      </c>
      <c r="J33" s="16">
        <v>2.3950505600000001</v>
      </c>
      <c r="K33" s="14" t="s">
        <v>139</v>
      </c>
      <c r="L33" s="16" t="s">
        <v>139</v>
      </c>
      <c r="M33" s="14">
        <v>0</v>
      </c>
      <c r="N33" s="16">
        <v>0</v>
      </c>
      <c r="O33" s="14">
        <v>0</v>
      </c>
      <c r="P33" s="16">
        <v>0</v>
      </c>
      <c r="Q33" s="14">
        <v>0</v>
      </c>
      <c r="R33" s="16">
        <v>0</v>
      </c>
      <c r="S33" s="14">
        <v>0</v>
      </c>
      <c r="T33" s="16">
        <v>0</v>
      </c>
    </row>
    <row r="34" spans="1:20" x14ac:dyDescent="0.25">
      <c r="A34" s="11" t="s">
        <v>167</v>
      </c>
      <c r="B34" s="13">
        <v>3035</v>
      </c>
      <c r="C34" s="14">
        <f>(2538/B34*100)</f>
        <v>83.62438220757825</v>
      </c>
      <c r="D34" s="15">
        <v>497</v>
      </c>
      <c r="E34" s="14">
        <v>33.653106430000001</v>
      </c>
      <c r="F34" s="16">
        <v>2.22892036</v>
      </c>
      <c r="G34" s="14">
        <v>15.14505752</v>
      </c>
      <c r="H34" s="16">
        <v>1.7338020999999999</v>
      </c>
      <c r="I34" s="14">
        <v>51.201836049999997</v>
      </c>
      <c r="J34" s="16">
        <v>2.35390765</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(2422/B35*100)</f>
        <v>83.488452257842127</v>
      </c>
      <c r="D35" s="15">
        <v>479</v>
      </c>
      <c r="E35" s="14">
        <v>17.164611010000002</v>
      </c>
      <c r="F35" s="16">
        <v>1.7478076899999999</v>
      </c>
      <c r="G35" s="14">
        <v>15.01398947</v>
      </c>
      <c r="H35" s="16">
        <v>2.0519668700000002</v>
      </c>
      <c r="I35" s="14">
        <v>67.82139952</v>
      </c>
      <c r="J35" s="16">
        <v>2.3131371600000001</v>
      </c>
      <c r="K35" s="14" t="s">
        <v>139</v>
      </c>
      <c r="L35" s="16" t="s">
        <v>139</v>
      </c>
      <c r="M35" s="14">
        <v>0</v>
      </c>
      <c r="N35" s="16">
        <v>0</v>
      </c>
      <c r="O35" s="14">
        <v>0</v>
      </c>
      <c r="P35" s="16">
        <v>0</v>
      </c>
      <c r="Q35" s="14">
        <v>0</v>
      </c>
      <c r="R35" s="16">
        <v>0</v>
      </c>
      <c r="S35" s="14">
        <v>0</v>
      </c>
      <c r="T35" s="16">
        <v>0</v>
      </c>
    </row>
    <row r="36" spans="1:20" x14ac:dyDescent="0.25">
      <c r="A36" s="11" t="s">
        <v>169</v>
      </c>
      <c r="B36" s="13">
        <v>3404</v>
      </c>
      <c r="C36" s="14">
        <f>(2833/B36*100)</f>
        <v>83.225616921269093</v>
      </c>
      <c r="D36" s="15">
        <v>571</v>
      </c>
      <c r="E36" s="14">
        <v>19.652455379999999</v>
      </c>
      <c r="F36" s="16">
        <v>2.1335054800000002</v>
      </c>
      <c r="G36" s="14">
        <v>12.925740530000001</v>
      </c>
      <c r="H36" s="16">
        <v>1.57931343</v>
      </c>
      <c r="I36" s="14">
        <v>67.421804080000001</v>
      </c>
      <c r="J36" s="16">
        <v>2.1907487699999999</v>
      </c>
      <c r="K36" s="14" t="s">
        <v>139</v>
      </c>
      <c r="L36" s="16" t="s">
        <v>139</v>
      </c>
      <c r="M36" s="14">
        <v>0</v>
      </c>
      <c r="N36" s="16">
        <v>0</v>
      </c>
      <c r="O36" s="14">
        <v>0</v>
      </c>
      <c r="P36" s="16">
        <v>0</v>
      </c>
      <c r="Q36" s="14">
        <v>0</v>
      </c>
      <c r="R36" s="16">
        <v>0</v>
      </c>
      <c r="S36" s="14">
        <v>0</v>
      </c>
      <c r="T36" s="16">
        <v>0</v>
      </c>
    </row>
    <row r="37" spans="1:20" x14ac:dyDescent="0.25">
      <c r="A37" s="11" t="s">
        <v>170</v>
      </c>
      <c r="B37" s="13">
        <v>2731</v>
      </c>
      <c r="C37" s="14">
        <f>(2268/B37*100)</f>
        <v>83.046503112413035</v>
      </c>
      <c r="D37" s="15">
        <v>463</v>
      </c>
      <c r="E37" s="14">
        <v>29.010626299999998</v>
      </c>
      <c r="F37" s="16">
        <v>2.3585453799999998</v>
      </c>
      <c r="G37" s="14">
        <v>15.35490581</v>
      </c>
      <c r="H37" s="16">
        <v>1.58466789</v>
      </c>
      <c r="I37" s="14">
        <v>55.634467899999997</v>
      </c>
      <c r="J37" s="16">
        <v>2.0258578900000002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(2414/B39*100)</f>
        <v>82.164737916950301</v>
      </c>
      <c r="D39" s="15">
        <v>524</v>
      </c>
      <c r="E39" s="14">
        <v>35.09771456</v>
      </c>
      <c r="F39" s="16">
        <v>2.9027289199999999</v>
      </c>
      <c r="G39" s="14">
        <v>18.675071500000001</v>
      </c>
      <c r="H39" s="16">
        <v>1.6837801699999999</v>
      </c>
      <c r="I39" s="14">
        <v>46.227213939999999</v>
      </c>
      <c r="J39" s="16">
        <v>2.7317444399999999</v>
      </c>
      <c r="K39" s="14" t="s">
        <v>139</v>
      </c>
      <c r="L39" s="16" t="s">
        <v>139</v>
      </c>
      <c r="M39" s="14">
        <v>0</v>
      </c>
      <c r="N39" s="16">
        <v>0</v>
      </c>
      <c r="O39" s="14">
        <v>0</v>
      </c>
      <c r="P39" s="16">
        <v>0</v>
      </c>
      <c r="Q39" s="14">
        <v>0</v>
      </c>
      <c r="R39" s="16">
        <v>0</v>
      </c>
      <c r="S39" s="14">
        <v>0</v>
      </c>
      <c r="T39" s="16">
        <v>0</v>
      </c>
    </row>
    <row r="40" spans="1:20" x14ac:dyDescent="0.25">
      <c r="A40" s="11" t="s">
        <v>173</v>
      </c>
      <c r="B40" s="13">
        <v>6922</v>
      </c>
      <c r="C40" s="14">
        <f>(5733/B40*100)</f>
        <v>82.822883559664845</v>
      </c>
      <c r="D40" s="15">
        <v>1189</v>
      </c>
      <c r="E40" s="14">
        <v>23.32411772</v>
      </c>
      <c r="F40" s="16">
        <v>1.8041789699999999</v>
      </c>
      <c r="G40" s="14">
        <v>13.976266620000001</v>
      </c>
      <c r="H40" s="16">
        <v>1.5229802400000001</v>
      </c>
      <c r="I40" s="14">
        <v>62.699615659999999</v>
      </c>
      <c r="J40" s="16">
        <v>2.4153936200000001</v>
      </c>
      <c r="K40" s="14" t="s">
        <v>139</v>
      </c>
      <c r="L40" s="16" t="s">
        <v>139</v>
      </c>
      <c r="M40" s="14">
        <v>0</v>
      </c>
      <c r="N40" s="16">
        <v>0</v>
      </c>
      <c r="O40" s="14">
        <v>0</v>
      </c>
      <c r="P40" s="16">
        <v>0</v>
      </c>
      <c r="Q40" s="14">
        <v>0</v>
      </c>
      <c r="R40" s="16">
        <v>0</v>
      </c>
      <c r="S40" s="14">
        <v>0</v>
      </c>
      <c r="T40" s="16">
        <v>0</v>
      </c>
    </row>
    <row r="41" spans="1:20" x14ac:dyDescent="0.25">
      <c r="A41" s="11" t="s">
        <v>174</v>
      </c>
      <c r="B41" s="13">
        <v>2854</v>
      </c>
      <c r="C41" s="14">
        <f>(2350/B41*100)</f>
        <v>82.340574632095311</v>
      </c>
      <c r="D41" s="15">
        <v>504</v>
      </c>
      <c r="E41" s="14">
        <v>25.813807130000001</v>
      </c>
      <c r="F41" s="16">
        <v>2.22403153</v>
      </c>
      <c r="G41" s="14">
        <v>18.429335479999999</v>
      </c>
      <c r="H41" s="16">
        <v>1.88968278</v>
      </c>
      <c r="I41" s="14">
        <v>55.75685739</v>
      </c>
      <c r="J41" s="16">
        <v>2.31802149</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83.004258294965311</v>
      </c>
      <c r="D42" s="15">
        <f>IF(COUNT(D7:D41) &gt; 0, AVERAGE(D7:D41), "—")</f>
        <v>613.84375</v>
      </c>
      <c r="E42" s="14">
        <f>IF(COUNT(E7:E41) &gt; 0, AVERAGE(E7:E41), "—")</f>
        <v>24.952857792187501</v>
      </c>
      <c r="F42" s="16">
        <f>IF(COUNT(F7:F41) &gt; 0, SQRT(SUMSQ(F7:F41)/(COUNT(F7:F41)*COUNT(F7:F41)) ), "—")</f>
        <v>0.36839872523298706</v>
      </c>
      <c r="G42" s="14">
        <f>IF(COUNT(G7:G41) &gt; 0, AVERAGE(G7:G41), "—")</f>
        <v>16.131200715000002</v>
      </c>
      <c r="H42" s="16">
        <f>IF(COUNT(H7:H41) &gt; 0, SQRT(SUMSQ(H7:H41)/(COUNT(H7:H41)*COUNT(H7:H41)) ), "—")</f>
        <v>0.3013933820374578</v>
      </c>
      <c r="I42" s="14">
        <f>IF(COUNT(I7:I41) &gt; 0, AVERAGE(I7:I41), "—")</f>
        <v>58.915941492812493</v>
      </c>
      <c r="J42" s="16">
        <f>IF(COUNT(J7:J41) &gt; 0, SQRT(SUMSQ(J7:J41)/(COUNT(J7:J41)*COUNT(J7:J41)) ), "—")</f>
        <v>0.39938882594925507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(10357/B46*100)</f>
        <v>85.786465667191266</v>
      </c>
      <c r="D46" s="15">
        <v>1716</v>
      </c>
      <c r="E46" s="14">
        <v>36.488511359999997</v>
      </c>
      <c r="F46" s="16">
        <v>1.55646021</v>
      </c>
      <c r="G46" s="14">
        <v>13.868445400000001</v>
      </c>
      <c r="H46" s="16">
        <v>1.11499948</v>
      </c>
      <c r="I46" s="14">
        <v>49.643043239999997</v>
      </c>
      <c r="J46" s="16">
        <v>1.5531971600000001</v>
      </c>
      <c r="K46" s="14" t="s">
        <v>139</v>
      </c>
      <c r="L46" s="16" t="s">
        <v>139</v>
      </c>
      <c r="M46" s="14">
        <v>0</v>
      </c>
      <c r="N46" s="16">
        <v>0</v>
      </c>
      <c r="O46" s="14">
        <v>0</v>
      </c>
      <c r="P46" s="16">
        <v>0</v>
      </c>
      <c r="Q46" s="14">
        <v>0</v>
      </c>
      <c r="R46" s="16">
        <v>0</v>
      </c>
      <c r="S46" s="14">
        <v>0</v>
      </c>
      <c r="T46" s="16">
        <v>0</v>
      </c>
    </row>
    <row r="47" spans="1:20" x14ac:dyDescent="0.25">
      <c r="A47" s="11" t="s">
        <v>180</v>
      </c>
      <c r="B47" s="13">
        <v>2823</v>
      </c>
      <c r="C47" s="14">
        <f>(2337/B47*100)</f>
        <v>82.784272051009566</v>
      </c>
      <c r="D47" s="15">
        <v>486</v>
      </c>
      <c r="E47" s="14">
        <v>33.658867489999999</v>
      </c>
      <c r="F47" s="16">
        <v>2.4507808299999998</v>
      </c>
      <c r="G47" s="14">
        <v>16.690088429999999</v>
      </c>
      <c r="H47" s="16">
        <v>1.9911872500000001</v>
      </c>
      <c r="I47" s="14">
        <v>49.651044079999998</v>
      </c>
      <c r="J47" s="16">
        <v>2.34980586</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(3884/B48*100)</f>
        <v>82.956001708671508</v>
      </c>
      <c r="D48" s="15">
        <v>798</v>
      </c>
      <c r="E48" s="14">
        <v>20.104656370000001</v>
      </c>
      <c r="F48" s="16">
        <v>2.37184346</v>
      </c>
      <c r="G48" s="14">
        <v>16.09829628</v>
      </c>
      <c r="H48" s="16">
        <v>1.5233954300000001</v>
      </c>
      <c r="I48" s="14">
        <v>63.79704735</v>
      </c>
      <c r="J48" s="16">
        <v>2.4139355400000002</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(5148/B50*100)</f>
        <v>83.598570964598892</v>
      </c>
      <c r="D50" s="15">
        <v>1010</v>
      </c>
      <c r="E50" s="14">
        <v>40.736242339999997</v>
      </c>
      <c r="F50" s="16">
        <v>2.15270253</v>
      </c>
      <c r="G50" s="14">
        <v>14.49551408</v>
      </c>
      <c r="H50" s="16">
        <v>1.2798345799999999</v>
      </c>
      <c r="I50" s="14">
        <v>44.768243579999996</v>
      </c>
      <c r="J50" s="16">
        <v>1.99511869</v>
      </c>
      <c r="K50" s="14" t="s">
        <v>139</v>
      </c>
      <c r="L50" s="16" t="s">
        <v>139</v>
      </c>
      <c r="M50" s="14">
        <v>0</v>
      </c>
      <c r="N50" s="16">
        <v>0</v>
      </c>
      <c r="O50" s="14">
        <v>0</v>
      </c>
      <c r="P50" s="16">
        <v>0</v>
      </c>
      <c r="Q50" s="14">
        <v>0</v>
      </c>
      <c r="R50" s="16">
        <v>0</v>
      </c>
      <c r="S50" s="14">
        <v>0</v>
      </c>
      <c r="T50" s="16">
        <v>0</v>
      </c>
    </row>
    <row r="51" spans="1:20" x14ac:dyDescent="0.25">
      <c r="A51" s="11" t="s">
        <v>184</v>
      </c>
      <c r="B51" s="13">
        <v>3494</v>
      </c>
      <c r="C51" s="14">
        <f>(2986/B51*100)</f>
        <v>85.460789925586724</v>
      </c>
      <c r="D51" s="15">
        <v>508</v>
      </c>
      <c r="E51" s="14">
        <v>37.86471993</v>
      </c>
      <c r="F51" s="16">
        <v>2.43636886</v>
      </c>
      <c r="G51" s="14">
        <v>14.89174585</v>
      </c>
      <c r="H51" s="16">
        <v>1.89962505</v>
      </c>
      <c r="I51" s="14">
        <v>47.243534220000001</v>
      </c>
      <c r="J51" s="16">
        <v>2.6672966900000001</v>
      </c>
      <c r="K51" s="14" t="s">
        <v>139</v>
      </c>
      <c r="L51" s="16" t="s">
        <v>139</v>
      </c>
      <c r="M51" s="14">
        <v>0</v>
      </c>
      <c r="N51" s="16">
        <v>0</v>
      </c>
      <c r="O51" s="14">
        <v>0</v>
      </c>
      <c r="P51" s="16">
        <v>0</v>
      </c>
      <c r="Q51" s="14">
        <v>0</v>
      </c>
      <c r="R51" s="16">
        <v>0</v>
      </c>
      <c r="S51" s="14">
        <v>0</v>
      </c>
      <c r="T51" s="16">
        <v>0</v>
      </c>
    </row>
    <row r="52" spans="1:20" x14ac:dyDescent="0.25">
      <c r="A52" s="11" t="s">
        <v>185</v>
      </c>
      <c r="B52" s="13">
        <v>3013</v>
      </c>
      <c r="C52" s="14">
        <f>(2495/B52*100)</f>
        <v>82.80783272485894</v>
      </c>
      <c r="D52" s="15">
        <v>518</v>
      </c>
      <c r="E52" s="14">
        <v>23.541980899999999</v>
      </c>
      <c r="F52" s="16">
        <v>1.8065178399999999</v>
      </c>
      <c r="G52" s="14">
        <v>20.188200389999999</v>
      </c>
      <c r="H52" s="16">
        <v>1.7829613099999999</v>
      </c>
      <c r="I52" s="14">
        <v>56.269818710000003</v>
      </c>
      <c r="J52" s="16">
        <v>2.0835339099999999</v>
      </c>
      <c r="K52" s="14" t="s">
        <v>139</v>
      </c>
      <c r="L52" s="16" t="s">
        <v>139</v>
      </c>
      <c r="M52" s="14">
        <v>0</v>
      </c>
      <c r="N52" s="16">
        <v>0</v>
      </c>
      <c r="O52" s="14">
        <v>0</v>
      </c>
      <c r="P52" s="16">
        <v>0</v>
      </c>
      <c r="Q52" s="14">
        <v>0</v>
      </c>
      <c r="R52" s="16">
        <v>0</v>
      </c>
      <c r="S52" s="14">
        <v>0</v>
      </c>
      <c r="T52" s="16">
        <v>0</v>
      </c>
    </row>
    <row r="53" spans="1:20" x14ac:dyDescent="0.25">
      <c r="A53" s="11" t="s">
        <v>186</v>
      </c>
      <c r="B53" s="13">
        <v>2760</v>
      </c>
      <c r="C53" s="14">
        <f>(2306/B53*100)</f>
        <v>83.550724637681157</v>
      </c>
      <c r="D53" s="15">
        <v>454</v>
      </c>
      <c r="E53" s="14">
        <v>32.249836209999998</v>
      </c>
      <c r="F53" s="16">
        <v>2.2054785200000002</v>
      </c>
      <c r="G53" s="14">
        <v>18.737936560000001</v>
      </c>
      <c r="H53" s="16">
        <v>1.94810444</v>
      </c>
      <c r="I53" s="14">
        <v>49.012227230000001</v>
      </c>
      <c r="J53" s="16">
        <v>2.65236195</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(2207/B56*100)</f>
        <v>82.504672897196258</v>
      </c>
      <c r="D56" s="15">
        <v>468</v>
      </c>
      <c r="E56" s="14">
        <v>13.491133830000001</v>
      </c>
      <c r="F56" s="16">
        <v>1.6551636000000001</v>
      </c>
      <c r="G56" s="14">
        <v>8.1171123200000004</v>
      </c>
      <c r="H56" s="16">
        <v>1.0207278500000001</v>
      </c>
      <c r="I56" s="14">
        <v>78.391753850000001</v>
      </c>
      <c r="J56" s="16">
        <v>1.99487985</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(2646/B61*100)</f>
        <v>82.661668228678536</v>
      </c>
      <c r="D61" s="15">
        <v>555</v>
      </c>
      <c r="E61" s="14">
        <v>34.602357519999998</v>
      </c>
      <c r="F61" s="16">
        <v>2.5255199799999999</v>
      </c>
      <c r="G61" s="14">
        <v>16.61547908</v>
      </c>
      <c r="H61" s="16">
        <v>1.8266560999999999</v>
      </c>
      <c r="I61" s="14">
        <v>48.782163400000002</v>
      </c>
      <c r="J61" s="16">
        <v>2.4534356599999998</v>
      </c>
      <c r="K61" s="14" t="s">
        <v>139</v>
      </c>
      <c r="L61" s="16" t="s">
        <v>139</v>
      </c>
      <c r="M61" s="14">
        <v>0</v>
      </c>
      <c r="N61" s="16">
        <v>0</v>
      </c>
      <c r="O61" s="14">
        <v>0</v>
      </c>
      <c r="P61" s="16">
        <v>0</v>
      </c>
      <c r="Q61" s="14">
        <v>0</v>
      </c>
      <c r="R61" s="16">
        <v>0</v>
      </c>
      <c r="S61" s="14">
        <v>0</v>
      </c>
      <c r="T61" s="16">
        <v>0</v>
      </c>
    </row>
    <row r="62" spans="1:20" x14ac:dyDescent="0.25">
      <c r="A62" s="11" t="s">
        <v>195</v>
      </c>
      <c r="B62" s="13">
        <v>2230</v>
      </c>
      <c r="C62" s="14">
        <f>(1858/B62*100)</f>
        <v>83.318385650224215</v>
      </c>
      <c r="D62" s="15">
        <v>372</v>
      </c>
      <c r="E62" s="14">
        <v>18.578126999999999</v>
      </c>
      <c r="F62" s="16">
        <v>1.95587836</v>
      </c>
      <c r="G62" s="14">
        <v>12.65984568</v>
      </c>
      <c r="H62" s="16">
        <v>1.58793067</v>
      </c>
      <c r="I62" s="14">
        <v>68.762027320000001</v>
      </c>
      <c r="J62" s="16">
        <v>2.39694845</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(2291/B66*100)</f>
        <v>82.677733670155177</v>
      </c>
      <c r="D66" s="15">
        <v>480</v>
      </c>
      <c r="E66" s="14">
        <v>57.391251910000001</v>
      </c>
      <c r="F66" s="16">
        <v>2.3695554699999999</v>
      </c>
      <c r="G66" s="14">
        <v>20.72989909</v>
      </c>
      <c r="H66" s="16">
        <v>1.8454926199999999</v>
      </c>
      <c r="I66" s="14">
        <v>21.878848999999999</v>
      </c>
      <c r="J66" s="16">
        <v>2.19597642</v>
      </c>
      <c r="K66" s="14" t="s">
        <v>139</v>
      </c>
      <c r="L66" s="16" t="s">
        <v>139</v>
      </c>
      <c r="M66" s="14">
        <v>0</v>
      </c>
      <c r="N66" s="16">
        <v>0</v>
      </c>
      <c r="O66" s="14">
        <v>0</v>
      </c>
      <c r="P66" s="16">
        <v>0</v>
      </c>
      <c r="Q66" s="14">
        <v>0</v>
      </c>
      <c r="R66" s="16">
        <v>0</v>
      </c>
      <c r="S66" s="14">
        <v>0</v>
      </c>
      <c r="T66" s="16">
        <v>0</v>
      </c>
    </row>
    <row r="67" spans="1:20" x14ac:dyDescent="0.25">
      <c r="A67" s="11" t="s">
        <v>200</v>
      </c>
      <c r="B67" s="13">
        <v>3460</v>
      </c>
      <c r="C67" s="14">
        <f>(2946/B67*100)</f>
        <v>85.144508670520239</v>
      </c>
      <c r="D67" s="15">
        <v>514</v>
      </c>
      <c r="E67" s="14">
        <v>45.348485400000001</v>
      </c>
      <c r="F67" s="16">
        <v>2.00500363</v>
      </c>
      <c r="G67" s="14">
        <v>12.74344226</v>
      </c>
      <c r="H67" s="16">
        <v>1.6154048599999999</v>
      </c>
      <c r="I67" s="14">
        <v>41.908072339999997</v>
      </c>
      <c r="J67" s="16">
        <v>2.0504811799999998</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(2569/B70*100)</f>
        <v>82.684261345349213</v>
      </c>
      <c r="D70" s="15">
        <v>538</v>
      </c>
      <c r="E70" s="14">
        <v>26.205437329999999</v>
      </c>
      <c r="F70" s="16">
        <v>2.41846045</v>
      </c>
      <c r="G70" s="14">
        <v>13.51105111</v>
      </c>
      <c r="H70" s="16">
        <v>1.6948300000000001</v>
      </c>
      <c r="I70" s="14">
        <v>60.283511560000001</v>
      </c>
      <c r="J70" s="16">
        <v>2.85881287</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(3157/B72*100)</f>
        <v>82.665619272060752</v>
      </c>
      <c r="D72" s="15">
        <v>662</v>
      </c>
      <c r="E72" s="14">
        <v>22.517366670000001</v>
      </c>
      <c r="F72" s="16">
        <v>1.57195844</v>
      </c>
      <c r="G72" s="14">
        <v>14.178835060000001</v>
      </c>
      <c r="H72" s="16">
        <v>1.32704339</v>
      </c>
      <c r="I72" s="14">
        <v>63.303798270000001</v>
      </c>
      <c r="J72" s="16">
        <v>1.7398587700000001</v>
      </c>
      <c r="K72" s="14" t="s">
        <v>139</v>
      </c>
      <c r="L72" s="16" t="s">
        <v>139</v>
      </c>
      <c r="M72" s="14">
        <v>0</v>
      </c>
      <c r="N72" s="16">
        <v>0</v>
      </c>
      <c r="O72" s="14">
        <v>0</v>
      </c>
      <c r="P72" s="16">
        <v>0</v>
      </c>
      <c r="Q72" s="14">
        <v>0</v>
      </c>
      <c r="R72" s="16">
        <v>0</v>
      </c>
      <c r="S72" s="14">
        <v>0</v>
      </c>
      <c r="T72" s="16">
        <v>0</v>
      </c>
    </row>
    <row r="73" spans="1:20" x14ac:dyDescent="0.25">
      <c r="A73" s="11" t="s">
        <v>206</v>
      </c>
      <c r="B73" s="13">
        <v>4652</v>
      </c>
      <c r="C73" s="14">
        <f>(3903/B73*100)</f>
        <v>83.899398108340492</v>
      </c>
      <c r="D73" s="15">
        <v>749</v>
      </c>
      <c r="E73" s="14">
        <v>21.933663469999999</v>
      </c>
      <c r="F73" s="16">
        <v>1.8450650799999999</v>
      </c>
      <c r="G73" s="14">
        <v>9.8501059899999994</v>
      </c>
      <c r="H73" s="16">
        <v>1.42052421</v>
      </c>
      <c r="I73" s="14">
        <v>68.216230539999998</v>
      </c>
      <c r="J73" s="16">
        <v>2.1378887899999999</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(2508/B75*100)</f>
        <v>84.472886493768954</v>
      </c>
      <c r="D75" s="15">
        <v>461</v>
      </c>
      <c r="E75" s="14">
        <v>40.359088989999996</v>
      </c>
      <c r="F75" s="16">
        <v>2.35795157</v>
      </c>
      <c r="G75" s="14">
        <v>13.614795150000001</v>
      </c>
      <c r="H75" s="16">
        <v>1.6103016699999999</v>
      </c>
      <c r="I75" s="14">
        <v>46.026115849999996</v>
      </c>
      <c r="J75" s="16">
        <v>2.3170227400000001</v>
      </c>
      <c r="K75" s="14" t="s">
        <v>139</v>
      </c>
      <c r="L75" s="16" t="s">
        <v>139</v>
      </c>
      <c r="M75" s="14">
        <v>0</v>
      </c>
      <c r="N75" s="16">
        <v>0</v>
      </c>
      <c r="O75" s="14">
        <v>0</v>
      </c>
      <c r="P75" s="16">
        <v>0</v>
      </c>
      <c r="Q75" s="14">
        <v>0</v>
      </c>
      <c r="R75" s="16">
        <v>0</v>
      </c>
      <c r="S75" s="14">
        <v>0</v>
      </c>
      <c r="T75" s="16">
        <v>0</v>
      </c>
    </row>
    <row r="76" spans="1:20" x14ac:dyDescent="0.25">
      <c r="A76" s="11" t="s">
        <v>209</v>
      </c>
      <c r="B76" s="13">
        <v>7115</v>
      </c>
      <c r="C76" s="14">
        <f>(5907/B76*100)</f>
        <v>83.021784961349269</v>
      </c>
      <c r="D76" s="15">
        <v>1208</v>
      </c>
      <c r="E76" s="14">
        <v>38.992413220000003</v>
      </c>
      <c r="F76" s="16">
        <v>1.4420381600000001</v>
      </c>
      <c r="G76" s="14">
        <v>13.25971799</v>
      </c>
      <c r="H76" s="16">
        <v>1.33759384</v>
      </c>
      <c r="I76" s="14">
        <v>47.747868789999998</v>
      </c>
      <c r="J76" s="16">
        <v>1.5496122400000001</v>
      </c>
      <c r="K76" s="14" t="s">
        <v>139</v>
      </c>
      <c r="L76" s="16" t="s">
        <v>139</v>
      </c>
      <c r="M76" s="14">
        <v>0</v>
      </c>
      <c r="N76" s="16">
        <v>0</v>
      </c>
      <c r="O76" s="14">
        <v>0</v>
      </c>
      <c r="P76" s="16">
        <v>0</v>
      </c>
      <c r="Q76" s="14">
        <v>0</v>
      </c>
      <c r="R76" s="16">
        <v>0</v>
      </c>
      <c r="S76" s="14">
        <v>0</v>
      </c>
      <c r="T76" s="16">
        <v>0</v>
      </c>
    </row>
    <row r="77" spans="1:20" x14ac:dyDescent="0.25">
      <c r="A77" s="11" t="s">
        <v>210</v>
      </c>
      <c r="B77" s="13">
        <v>3154</v>
      </c>
      <c r="C77" s="14">
        <f>(2619/B77*100)</f>
        <v>83.037412809131268</v>
      </c>
      <c r="D77" s="15">
        <v>535</v>
      </c>
      <c r="E77" s="14">
        <v>36.678642830000001</v>
      </c>
      <c r="F77" s="16">
        <v>2.2042066400000002</v>
      </c>
      <c r="G77" s="14">
        <v>14.449070089999999</v>
      </c>
      <c r="H77" s="16">
        <v>1.49735058</v>
      </c>
      <c r="I77" s="14">
        <v>48.87228708</v>
      </c>
      <c r="J77" s="16">
        <v>2.41657353</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(3893/B81*100)</f>
        <v>82.865048957002983</v>
      </c>
      <c r="D81" s="15">
        <v>805</v>
      </c>
      <c r="E81" s="14">
        <v>20.792972469999999</v>
      </c>
      <c r="F81" s="16">
        <v>1.8453783399999999</v>
      </c>
      <c r="G81" s="14">
        <v>12.76781862</v>
      </c>
      <c r="H81" s="16">
        <v>1.4743924100000001</v>
      </c>
      <c r="I81" s="14">
        <v>66.439208910000005</v>
      </c>
      <c r="J81" s="16">
        <v>2.2011991700000002</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333</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(5930/B7*100)</f>
        <v>82.786541951696208</v>
      </c>
      <c r="D7" s="15">
        <v>1233</v>
      </c>
      <c r="E7" s="14">
        <v>19.356501730000002</v>
      </c>
      <c r="F7" s="16">
        <v>1.24341488</v>
      </c>
      <c r="G7" s="14">
        <v>34.83388987</v>
      </c>
      <c r="H7" s="16">
        <v>1.3949248000000001</v>
      </c>
      <c r="I7" s="14">
        <v>45.809608400000002</v>
      </c>
      <c r="J7" s="16">
        <v>1.5890327</v>
      </c>
      <c r="K7" s="14" t="s">
        <v>139</v>
      </c>
      <c r="L7" s="16" t="s">
        <v>139</v>
      </c>
      <c r="M7" s="14">
        <v>0</v>
      </c>
      <c r="N7" s="16">
        <v>0</v>
      </c>
      <c r="O7" s="14">
        <v>0</v>
      </c>
      <c r="P7" s="16">
        <v>0</v>
      </c>
      <c r="Q7" s="14">
        <v>0</v>
      </c>
      <c r="R7" s="16">
        <v>0</v>
      </c>
      <c r="S7" s="14">
        <v>0</v>
      </c>
      <c r="T7" s="16">
        <v>0</v>
      </c>
    </row>
    <row r="8" spans="1:20" x14ac:dyDescent="0.25">
      <c r="A8" s="11" t="s">
        <v>140</v>
      </c>
      <c r="B8" s="13">
        <v>3443</v>
      </c>
      <c r="C8" s="14">
        <f>(2831/B8*100)</f>
        <v>82.224803950043565</v>
      </c>
      <c r="D8" s="15">
        <v>612</v>
      </c>
      <c r="E8" s="14">
        <v>27.509687939999999</v>
      </c>
      <c r="F8" s="16">
        <v>1.8212524800000001</v>
      </c>
      <c r="G8" s="14">
        <v>40.847435089999998</v>
      </c>
      <c r="H8" s="16">
        <v>1.9692951400000001</v>
      </c>
      <c r="I8" s="14">
        <v>31.642876959999999</v>
      </c>
      <c r="J8" s="16">
        <v>2.0089726200000002</v>
      </c>
      <c r="K8" s="14" t="s">
        <v>139</v>
      </c>
      <c r="L8" s="16" t="s">
        <v>139</v>
      </c>
      <c r="M8" s="14">
        <v>0</v>
      </c>
      <c r="N8" s="16">
        <v>0</v>
      </c>
      <c r="O8" s="14">
        <v>0</v>
      </c>
      <c r="P8" s="16">
        <v>0</v>
      </c>
      <c r="Q8" s="14">
        <v>0</v>
      </c>
      <c r="R8" s="16">
        <v>0</v>
      </c>
      <c r="S8" s="14">
        <v>0</v>
      </c>
      <c r="T8" s="16">
        <v>0</v>
      </c>
    </row>
    <row r="9" spans="1:20" x14ac:dyDescent="0.25">
      <c r="A9" s="11" t="s">
        <v>141</v>
      </c>
      <c r="B9" s="13">
        <v>4752</v>
      </c>
      <c r="C9" s="14">
        <f>(3971/B9*100)</f>
        <v>83.56481481481481</v>
      </c>
      <c r="D9" s="15">
        <v>781</v>
      </c>
      <c r="E9" s="14">
        <v>22.204216370000001</v>
      </c>
      <c r="F9" s="16">
        <v>1.59656431</v>
      </c>
      <c r="G9" s="14">
        <v>47.035553710000002</v>
      </c>
      <c r="H9" s="16">
        <v>1.8483778900000001</v>
      </c>
      <c r="I9" s="14">
        <v>30.76022992</v>
      </c>
      <c r="J9" s="16">
        <v>1.9015509900000001</v>
      </c>
      <c r="K9" s="14" t="s">
        <v>139</v>
      </c>
      <c r="L9" s="16" t="s">
        <v>139</v>
      </c>
      <c r="M9" s="14">
        <v>0</v>
      </c>
      <c r="N9" s="16">
        <v>0</v>
      </c>
      <c r="O9" s="14">
        <v>0</v>
      </c>
      <c r="P9" s="16">
        <v>0</v>
      </c>
      <c r="Q9" s="14">
        <v>0</v>
      </c>
      <c r="R9" s="16">
        <v>0</v>
      </c>
      <c r="S9" s="14">
        <v>0</v>
      </c>
      <c r="T9" s="16">
        <v>0</v>
      </c>
    </row>
    <row r="10" spans="1:20" x14ac:dyDescent="0.25">
      <c r="A10" s="11" t="s">
        <v>142</v>
      </c>
      <c r="B10" s="13">
        <v>10022</v>
      </c>
      <c r="C10" s="14">
        <f>(8308/B10*100)</f>
        <v>82.897625224506086</v>
      </c>
      <c r="D10" s="15">
        <v>1714</v>
      </c>
      <c r="E10" s="14">
        <v>19.180718540000001</v>
      </c>
      <c r="F10" s="16">
        <v>1.2851652499999999</v>
      </c>
      <c r="G10" s="14">
        <v>34.44326461</v>
      </c>
      <c r="H10" s="16">
        <v>1.7547502500000001</v>
      </c>
      <c r="I10" s="14">
        <v>46.376016849999999</v>
      </c>
      <c r="J10" s="16">
        <v>1.5501094</v>
      </c>
      <c r="K10" s="14" t="s">
        <v>139</v>
      </c>
      <c r="L10" s="16" t="s">
        <v>139</v>
      </c>
      <c r="M10" s="14">
        <v>0</v>
      </c>
      <c r="N10" s="16">
        <v>0</v>
      </c>
      <c r="O10" s="14">
        <v>0</v>
      </c>
      <c r="P10" s="16">
        <v>0</v>
      </c>
      <c r="Q10" s="14">
        <v>0</v>
      </c>
      <c r="R10" s="16">
        <v>0</v>
      </c>
      <c r="S10" s="14">
        <v>0</v>
      </c>
      <c r="T10" s="16">
        <v>0</v>
      </c>
    </row>
    <row r="11" spans="1:20" x14ac:dyDescent="0.25">
      <c r="A11" s="11" t="s">
        <v>143</v>
      </c>
      <c r="B11" s="13">
        <v>3500</v>
      </c>
      <c r="C11" s="14">
        <f>(2893/B11*100)</f>
        <v>82.657142857142858</v>
      </c>
      <c r="D11" s="15">
        <v>607</v>
      </c>
      <c r="E11" s="14">
        <v>31.031681079999998</v>
      </c>
      <c r="F11" s="16">
        <v>2.0972040199999999</v>
      </c>
      <c r="G11" s="14">
        <v>50.712765650000001</v>
      </c>
      <c r="H11" s="16">
        <v>2.3504839099999999</v>
      </c>
      <c r="I11" s="14">
        <v>18.25555327</v>
      </c>
      <c r="J11" s="16">
        <v>1.91788078</v>
      </c>
      <c r="K11" s="14" t="s">
        <v>139</v>
      </c>
      <c r="L11" s="16" t="s">
        <v>139</v>
      </c>
      <c r="M11" s="14">
        <v>0</v>
      </c>
      <c r="N11" s="16">
        <v>0</v>
      </c>
      <c r="O11" s="14">
        <v>0</v>
      </c>
      <c r="P11" s="16">
        <v>0</v>
      </c>
      <c r="Q11" s="14">
        <v>0</v>
      </c>
      <c r="R11" s="16">
        <v>0</v>
      </c>
      <c r="S11" s="14">
        <v>0</v>
      </c>
      <c r="T11" s="16">
        <v>0</v>
      </c>
    </row>
    <row r="12" spans="1:20" x14ac:dyDescent="0.25">
      <c r="A12" s="11" t="s">
        <v>144</v>
      </c>
      <c r="B12" s="13">
        <v>3422</v>
      </c>
      <c r="C12" s="14">
        <f>(2868/B12*100)</f>
        <v>83.810637054354174</v>
      </c>
      <c r="D12" s="15">
        <v>554</v>
      </c>
      <c r="E12" s="14">
        <v>27.621964999999999</v>
      </c>
      <c r="F12" s="16">
        <v>1.9596134300000001</v>
      </c>
      <c r="G12" s="14">
        <v>38.454718800000002</v>
      </c>
      <c r="H12" s="16">
        <v>2.3932409799999999</v>
      </c>
      <c r="I12" s="14">
        <v>33.923316200000002</v>
      </c>
      <c r="J12" s="16">
        <v>2.5496833300000001</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(3005/B13*100)</f>
        <v>83.425874514158807</v>
      </c>
      <c r="D13" s="15">
        <v>597</v>
      </c>
      <c r="E13" s="14">
        <v>20.55887448</v>
      </c>
      <c r="F13" s="16">
        <v>2.1089926600000002</v>
      </c>
      <c r="G13" s="14">
        <v>49.434220660000001</v>
      </c>
      <c r="H13" s="16">
        <v>2.57961895</v>
      </c>
      <c r="I13" s="14">
        <v>30.006904859999999</v>
      </c>
      <c r="J13" s="16">
        <v>2.18160373</v>
      </c>
      <c r="K13" s="14" t="s">
        <v>139</v>
      </c>
      <c r="L13" s="16" t="s">
        <v>139</v>
      </c>
      <c r="M13" s="14">
        <v>0</v>
      </c>
      <c r="N13" s="16">
        <v>0</v>
      </c>
      <c r="O13" s="14">
        <v>0</v>
      </c>
      <c r="P13" s="16">
        <v>0</v>
      </c>
      <c r="Q13" s="14">
        <v>0</v>
      </c>
      <c r="R13" s="16">
        <v>0</v>
      </c>
      <c r="S13" s="14">
        <v>0</v>
      </c>
      <c r="T13" s="16">
        <v>0</v>
      </c>
    </row>
    <row r="14" spans="1:20" x14ac:dyDescent="0.25">
      <c r="A14" s="11" t="s">
        <v>146</v>
      </c>
      <c r="B14" s="13">
        <v>2788</v>
      </c>
      <c r="C14" s="14">
        <f>(2306/B14*100)</f>
        <v>82.711621233859404</v>
      </c>
      <c r="D14" s="15">
        <v>482</v>
      </c>
      <c r="E14" s="14">
        <v>15.590560050000001</v>
      </c>
      <c r="F14" s="16">
        <v>1.7642066300000001</v>
      </c>
      <c r="G14" s="14">
        <v>44.78993972</v>
      </c>
      <c r="H14" s="16">
        <v>2.4173202599999999</v>
      </c>
      <c r="I14" s="14">
        <v>39.619500240000001</v>
      </c>
      <c r="J14" s="16">
        <v>2.3084397399999999</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(2364/B15*100)</f>
        <v>82.570730003492841</v>
      </c>
      <c r="D15" s="15">
        <v>499</v>
      </c>
      <c r="E15" s="14">
        <v>16.864673379999999</v>
      </c>
      <c r="F15" s="16">
        <v>1.7408760299999999</v>
      </c>
      <c r="G15" s="14">
        <v>46.790354489999999</v>
      </c>
      <c r="H15" s="16">
        <v>2.4082100299999998</v>
      </c>
      <c r="I15" s="14">
        <v>36.344972130000002</v>
      </c>
      <c r="J15" s="16">
        <v>2.4228107300000001</v>
      </c>
      <c r="K15" s="14" t="s">
        <v>139</v>
      </c>
      <c r="L15" s="16" t="s">
        <v>139</v>
      </c>
      <c r="M15" s="14">
        <v>0</v>
      </c>
      <c r="N15" s="16">
        <v>0</v>
      </c>
      <c r="O15" s="14">
        <v>0</v>
      </c>
      <c r="P15" s="16">
        <v>0</v>
      </c>
      <c r="Q15" s="14">
        <v>0</v>
      </c>
      <c r="R15" s="16">
        <v>0</v>
      </c>
      <c r="S15" s="14">
        <v>0</v>
      </c>
      <c r="T15" s="16">
        <v>0</v>
      </c>
    </row>
    <row r="16" spans="1:20" x14ac:dyDescent="0.25">
      <c r="A16" s="11" t="s">
        <v>148</v>
      </c>
      <c r="B16" s="13">
        <v>3111</v>
      </c>
      <c r="C16" s="14">
        <f>(2570/B16*100)</f>
        <v>82.610093217614917</v>
      </c>
      <c r="D16" s="15">
        <v>541</v>
      </c>
      <c r="E16" s="14">
        <v>30.443351199999999</v>
      </c>
      <c r="F16" s="16">
        <v>2.5021820099999998</v>
      </c>
      <c r="G16" s="14">
        <v>43.348914379999997</v>
      </c>
      <c r="H16" s="16">
        <v>2.45026023</v>
      </c>
      <c r="I16" s="14">
        <v>26.207734420000001</v>
      </c>
      <c r="J16" s="16">
        <v>1.90972651</v>
      </c>
      <c r="K16" s="14" t="s">
        <v>139</v>
      </c>
      <c r="L16" s="16" t="s">
        <v>139</v>
      </c>
      <c r="M16" s="14">
        <v>0</v>
      </c>
      <c r="N16" s="16">
        <v>0</v>
      </c>
      <c r="O16" s="14">
        <v>0</v>
      </c>
      <c r="P16" s="16">
        <v>0</v>
      </c>
      <c r="Q16" s="14">
        <v>0</v>
      </c>
      <c r="R16" s="16">
        <v>0</v>
      </c>
      <c r="S16" s="14">
        <v>0</v>
      </c>
      <c r="T16" s="16">
        <v>0</v>
      </c>
    </row>
    <row r="17" spans="1:20" x14ac:dyDescent="0.25">
      <c r="A17" s="11" t="s">
        <v>149</v>
      </c>
      <c r="B17" s="13">
        <v>3197</v>
      </c>
      <c r="C17" s="14">
        <f>(2623/B17*100)</f>
        <v>82.045667813575236</v>
      </c>
      <c r="D17" s="15">
        <v>574</v>
      </c>
      <c r="E17" s="14">
        <v>25.546326149999999</v>
      </c>
      <c r="F17" s="16">
        <v>1.9401892599999999</v>
      </c>
      <c r="G17" s="14">
        <v>37.638425730000002</v>
      </c>
      <c r="H17" s="16">
        <v>2.0779311800000002</v>
      </c>
      <c r="I17" s="14">
        <v>36.81524812</v>
      </c>
      <c r="J17" s="16">
        <v>2.0177025099999999</v>
      </c>
      <c r="K17" s="14" t="s">
        <v>139</v>
      </c>
      <c r="L17" s="16" t="s">
        <v>139</v>
      </c>
      <c r="M17" s="14">
        <v>0</v>
      </c>
      <c r="N17" s="16">
        <v>0</v>
      </c>
      <c r="O17" s="14">
        <v>0</v>
      </c>
      <c r="P17" s="16">
        <v>0</v>
      </c>
      <c r="Q17" s="14">
        <v>0</v>
      </c>
      <c r="R17" s="16">
        <v>0</v>
      </c>
      <c r="S17" s="14">
        <v>0</v>
      </c>
      <c r="T17" s="16">
        <v>0</v>
      </c>
    </row>
    <row r="18" spans="1:20" x14ac:dyDescent="0.25">
      <c r="A18" s="11" t="s">
        <v>150</v>
      </c>
      <c r="B18" s="13">
        <v>2706</v>
      </c>
      <c r="C18" s="14">
        <f>(2235/B18*100)</f>
        <v>82.594235033259423</v>
      </c>
      <c r="D18" s="15">
        <v>471</v>
      </c>
      <c r="E18" s="14">
        <v>33.35900797</v>
      </c>
      <c r="F18" s="16">
        <v>2.2279336000000001</v>
      </c>
      <c r="G18" s="14">
        <v>45.658152309999998</v>
      </c>
      <c r="H18" s="16">
        <v>2.3155553599999998</v>
      </c>
      <c r="I18" s="14">
        <v>20.982839720000001</v>
      </c>
      <c r="J18" s="16">
        <v>1.84600692</v>
      </c>
      <c r="K18" s="14" t="s">
        <v>139</v>
      </c>
      <c r="L18" s="16" t="s">
        <v>139</v>
      </c>
      <c r="M18" s="14">
        <v>0</v>
      </c>
      <c r="N18" s="16">
        <v>0</v>
      </c>
      <c r="O18" s="14">
        <v>0</v>
      </c>
      <c r="P18" s="16">
        <v>0</v>
      </c>
      <c r="Q18" s="14">
        <v>0</v>
      </c>
      <c r="R18" s="16">
        <v>0</v>
      </c>
      <c r="S18" s="14">
        <v>0</v>
      </c>
      <c r="T18" s="16">
        <v>0</v>
      </c>
    </row>
    <row r="19" spans="1:20" x14ac:dyDescent="0.25">
      <c r="A19" s="11" t="s">
        <v>151</v>
      </c>
      <c r="B19" s="13">
        <v>2850</v>
      </c>
      <c r="C19" s="14">
        <f>(2366/B19*100)</f>
        <v>83.017543859649123</v>
      </c>
      <c r="D19" s="15">
        <v>484</v>
      </c>
      <c r="E19" s="14">
        <v>32.072392819999997</v>
      </c>
      <c r="F19" s="16">
        <v>2.4910861199999998</v>
      </c>
      <c r="G19" s="14">
        <v>46.302018490000002</v>
      </c>
      <c r="H19" s="16">
        <v>2.4000009900000001</v>
      </c>
      <c r="I19" s="14">
        <v>21.625588690000001</v>
      </c>
      <c r="J19" s="16">
        <v>1.7763247200000001</v>
      </c>
      <c r="K19" s="14" t="s">
        <v>139</v>
      </c>
      <c r="L19" s="16" t="s">
        <v>139</v>
      </c>
      <c r="M19" s="14">
        <v>0</v>
      </c>
      <c r="N19" s="16">
        <v>0</v>
      </c>
      <c r="O19" s="14">
        <v>0</v>
      </c>
      <c r="P19" s="16">
        <v>0</v>
      </c>
      <c r="Q19" s="14">
        <v>0</v>
      </c>
      <c r="R19" s="16">
        <v>0</v>
      </c>
      <c r="S19" s="14">
        <v>0</v>
      </c>
      <c r="T19" s="16">
        <v>0</v>
      </c>
    </row>
    <row r="20" spans="1:20" x14ac:dyDescent="0.25">
      <c r="A20" s="11" t="s">
        <v>152</v>
      </c>
      <c r="B20" s="13">
        <v>1741</v>
      </c>
      <c r="C20" s="14">
        <f>(1442/B20*100)</f>
        <v>82.825962090752441</v>
      </c>
      <c r="D20" s="15">
        <v>299</v>
      </c>
      <c r="E20" s="14">
        <v>30.248883209999999</v>
      </c>
      <c r="F20" s="16">
        <v>2.4871159500000002</v>
      </c>
      <c r="G20" s="14">
        <v>38.214804860000001</v>
      </c>
      <c r="H20" s="16">
        <v>3.1411036499999998</v>
      </c>
      <c r="I20" s="14">
        <v>31.53631193</v>
      </c>
      <c r="J20" s="16">
        <v>2.9617202699999998</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(3135/B22*100)</f>
        <v>85.492227979274617</v>
      </c>
      <c r="D22" s="15">
        <v>532</v>
      </c>
      <c r="E22" s="14">
        <v>25.069949749999999</v>
      </c>
      <c r="F22" s="16">
        <v>1.9955655400000001</v>
      </c>
      <c r="G22" s="14">
        <v>48.677614169999998</v>
      </c>
      <c r="H22" s="16">
        <v>2.1506889400000002</v>
      </c>
      <c r="I22" s="14">
        <v>26.252436079999999</v>
      </c>
      <c r="J22" s="16">
        <v>2.1597997100000002</v>
      </c>
      <c r="K22" s="14" t="s">
        <v>139</v>
      </c>
      <c r="L22" s="16" t="s">
        <v>139</v>
      </c>
      <c r="M22" s="14">
        <v>0</v>
      </c>
      <c r="N22" s="16">
        <v>0</v>
      </c>
      <c r="O22" s="14">
        <v>0</v>
      </c>
      <c r="P22" s="16">
        <v>0</v>
      </c>
      <c r="Q22" s="14">
        <v>0</v>
      </c>
      <c r="R22" s="16">
        <v>0</v>
      </c>
      <c r="S22" s="14">
        <v>0</v>
      </c>
      <c r="T22" s="16">
        <v>0</v>
      </c>
    </row>
    <row r="23" spans="1:20" x14ac:dyDescent="0.25">
      <c r="A23" s="11" t="s">
        <v>156</v>
      </c>
      <c r="B23" s="13">
        <v>5792</v>
      </c>
      <c r="C23" s="14">
        <f>(4796/B23*100)</f>
        <v>82.803867403314911</v>
      </c>
      <c r="D23" s="15">
        <v>996</v>
      </c>
      <c r="E23" s="14">
        <v>30.310189579999999</v>
      </c>
      <c r="F23" s="16">
        <v>2.2641140499999999</v>
      </c>
      <c r="G23" s="14">
        <v>39.653650900000002</v>
      </c>
      <c r="H23" s="16">
        <v>1.8966508799999999</v>
      </c>
      <c r="I23" s="14">
        <v>30.036159519999998</v>
      </c>
      <c r="J23" s="16">
        <v>2.4355515799999998</v>
      </c>
      <c r="K23" s="14" t="s">
        <v>139</v>
      </c>
      <c r="L23" s="16" t="s">
        <v>139</v>
      </c>
      <c r="M23" s="14">
        <v>0</v>
      </c>
      <c r="N23" s="16">
        <v>0</v>
      </c>
      <c r="O23" s="14">
        <v>0</v>
      </c>
      <c r="P23" s="16">
        <v>0</v>
      </c>
      <c r="Q23" s="14">
        <v>0</v>
      </c>
      <c r="R23" s="16">
        <v>0</v>
      </c>
      <c r="S23" s="14">
        <v>0</v>
      </c>
      <c r="T23" s="16">
        <v>0</v>
      </c>
    </row>
    <row r="24" spans="1:20" x14ac:dyDescent="0.25">
      <c r="A24" s="11" t="s">
        <v>157</v>
      </c>
      <c r="B24" s="13">
        <v>3309</v>
      </c>
      <c r="C24" s="14">
        <f>(2718/B24*100)</f>
        <v>82.139619220308248</v>
      </c>
      <c r="D24" s="15">
        <v>591</v>
      </c>
      <c r="E24" s="14">
        <v>12.607559269999999</v>
      </c>
      <c r="F24" s="16">
        <v>1.43983511</v>
      </c>
      <c r="G24" s="14">
        <v>33.68607961</v>
      </c>
      <c r="H24" s="16">
        <v>1.9446531499999999</v>
      </c>
      <c r="I24" s="14">
        <v>53.706361119999997</v>
      </c>
      <c r="J24" s="16">
        <v>2.1969925899999998</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9.3140576700000004</v>
      </c>
      <c r="F25" s="16">
        <v>1.3634398000000001</v>
      </c>
      <c r="G25" s="14">
        <v>38.321802570000003</v>
      </c>
      <c r="H25" s="16">
        <v>2.3091198199999998</v>
      </c>
      <c r="I25" s="14">
        <v>52.36413976</v>
      </c>
      <c r="J25" s="16">
        <v>2.3258070399999999</v>
      </c>
      <c r="K25" s="14" t="s">
        <v>139</v>
      </c>
      <c r="L25" s="16" t="s">
        <v>139</v>
      </c>
      <c r="M25" s="14">
        <v>0</v>
      </c>
      <c r="N25" s="16">
        <v>0</v>
      </c>
      <c r="O25" s="14">
        <v>0</v>
      </c>
      <c r="P25" s="16">
        <v>0</v>
      </c>
      <c r="Q25" s="14">
        <v>0</v>
      </c>
      <c r="R25" s="16">
        <v>0</v>
      </c>
      <c r="S25" s="14">
        <v>0</v>
      </c>
      <c r="T25" s="16">
        <v>0</v>
      </c>
    </row>
    <row r="26" spans="1:20" x14ac:dyDescent="0.25">
      <c r="A26" s="11" t="s">
        <v>159</v>
      </c>
      <c r="B26" s="13">
        <v>2419</v>
      </c>
      <c r="C26" s="14">
        <f>(1989/B26*100)</f>
        <v>82.224059528730876</v>
      </c>
      <c r="D26" s="15">
        <v>430</v>
      </c>
      <c r="E26" s="14">
        <v>33.366774049999997</v>
      </c>
      <c r="F26" s="16">
        <v>2.5728275900000002</v>
      </c>
      <c r="G26" s="14">
        <v>40.029200350000004</v>
      </c>
      <c r="H26" s="16">
        <v>2.36049255</v>
      </c>
      <c r="I26" s="14">
        <v>26.6040256</v>
      </c>
      <c r="J26" s="16">
        <v>2.2418140599999998</v>
      </c>
      <c r="K26" s="14" t="s">
        <v>139</v>
      </c>
      <c r="L26" s="16" t="s">
        <v>139</v>
      </c>
      <c r="M26" s="14">
        <v>0</v>
      </c>
      <c r="N26" s="16">
        <v>0</v>
      </c>
      <c r="O26" s="14">
        <v>0</v>
      </c>
      <c r="P26" s="16">
        <v>0</v>
      </c>
      <c r="Q26" s="14">
        <v>0</v>
      </c>
      <c r="R26" s="16">
        <v>0</v>
      </c>
      <c r="S26" s="14">
        <v>0</v>
      </c>
      <c r="T26" s="16">
        <v>0</v>
      </c>
    </row>
    <row r="27" spans="1:20" x14ac:dyDescent="0.25">
      <c r="A27" s="11" t="s">
        <v>160</v>
      </c>
      <c r="B27" s="13">
        <v>2683</v>
      </c>
      <c r="C27" s="14">
        <f>(2210/B27*100)</f>
        <v>82.370480805068951</v>
      </c>
      <c r="D27" s="15">
        <v>473</v>
      </c>
      <c r="E27" s="14">
        <v>28.657169270000001</v>
      </c>
      <c r="F27" s="16">
        <v>1.9167577600000001</v>
      </c>
      <c r="G27" s="14">
        <v>40.544753790000001</v>
      </c>
      <c r="H27" s="16">
        <v>2.12368851</v>
      </c>
      <c r="I27" s="14">
        <v>30.798076940000001</v>
      </c>
      <c r="J27" s="16">
        <v>2.06390991</v>
      </c>
      <c r="K27" s="14" t="s">
        <v>139</v>
      </c>
      <c r="L27" s="16" t="s">
        <v>139</v>
      </c>
      <c r="M27" s="14">
        <v>0</v>
      </c>
      <c r="N27" s="16">
        <v>0</v>
      </c>
      <c r="O27" s="14">
        <v>0</v>
      </c>
      <c r="P27" s="16">
        <v>0</v>
      </c>
      <c r="Q27" s="14">
        <v>0</v>
      </c>
      <c r="R27" s="16">
        <v>0</v>
      </c>
      <c r="S27" s="14">
        <v>0</v>
      </c>
      <c r="T27" s="16">
        <v>0</v>
      </c>
    </row>
    <row r="28" spans="1:20" x14ac:dyDescent="0.25">
      <c r="A28" s="11" t="s">
        <v>161</v>
      </c>
      <c r="B28" s="13">
        <v>3803</v>
      </c>
      <c r="C28" s="14">
        <f>(3184/B28*100)</f>
        <v>83.723376281882722</v>
      </c>
      <c r="D28" s="15">
        <v>619</v>
      </c>
      <c r="E28" s="14">
        <v>26.385731400000001</v>
      </c>
      <c r="F28" s="16">
        <v>1.9688759899999999</v>
      </c>
      <c r="G28" s="14">
        <v>61.995314200000003</v>
      </c>
      <c r="H28" s="16">
        <v>2.3813092299999998</v>
      </c>
      <c r="I28" s="14">
        <v>11.6189544</v>
      </c>
      <c r="J28" s="16">
        <v>1.66412476</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(2264/B29*100)</f>
        <v>83.851851851851862</v>
      </c>
      <c r="D29" s="15">
        <v>436</v>
      </c>
      <c r="E29" s="14">
        <v>20.061703430000001</v>
      </c>
      <c r="F29" s="16">
        <v>2.2060909</v>
      </c>
      <c r="G29" s="14">
        <v>44.099209989999999</v>
      </c>
      <c r="H29" s="16">
        <v>2.1467139899999998</v>
      </c>
      <c r="I29" s="14">
        <v>35.83908658</v>
      </c>
      <c r="J29" s="16">
        <v>2.2035262200000001</v>
      </c>
      <c r="K29" s="14" t="s">
        <v>139</v>
      </c>
      <c r="L29" s="16" t="s">
        <v>139</v>
      </c>
      <c r="M29" s="14">
        <v>0</v>
      </c>
      <c r="N29" s="16">
        <v>0</v>
      </c>
      <c r="O29" s="14">
        <v>0</v>
      </c>
      <c r="P29" s="16">
        <v>0</v>
      </c>
      <c r="Q29" s="14">
        <v>0</v>
      </c>
      <c r="R29" s="16">
        <v>0</v>
      </c>
      <c r="S29" s="14">
        <v>0</v>
      </c>
      <c r="T29" s="16">
        <v>0</v>
      </c>
    </row>
    <row r="30" spans="1:20" x14ac:dyDescent="0.25">
      <c r="A30" s="11" t="s">
        <v>163</v>
      </c>
      <c r="B30" s="13">
        <v>2257</v>
      </c>
      <c r="C30" s="14">
        <f>(1899/B30*100)</f>
        <v>84.138236597252984</v>
      </c>
      <c r="D30" s="15">
        <v>358</v>
      </c>
      <c r="E30" s="14">
        <v>19.522526460000002</v>
      </c>
      <c r="F30" s="16">
        <v>2.2081767499999998</v>
      </c>
      <c r="G30" s="14">
        <v>35.757871289999997</v>
      </c>
      <c r="H30" s="16">
        <v>2.59151263</v>
      </c>
      <c r="I30" s="14">
        <v>44.719602250000001</v>
      </c>
      <c r="J30" s="16">
        <v>2.9395219400000001</v>
      </c>
      <c r="K30" s="14" t="s">
        <v>139</v>
      </c>
      <c r="L30" s="16" t="s">
        <v>139</v>
      </c>
      <c r="M30" s="14">
        <v>0</v>
      </c>
      <c r="N30" s="16">
        <v>0</v>
      </c>
      <c r="O30" s="14">
        <v>0</v>
      </c>
      <c r="P30" s="16">
        <v>0</v>
      </c>
      <c r="Q30" s="14">
        <v>0</v>
      </c>
      <c r="R30" s="16">
        <v>0</v>
      </c>
      <c r="S30" s="14">
        <v>0</v>
      </c>
      <c r="T30" s="16">
        <v>0</v>
      </c>
    </row>
    <row r="31" spans="1:20" x14ac:dyDescent="0.25">
      <c r="A31" s="11" t="s">
        <v>164</v>
      </c>
      <c r="B31" s="13">
        <v>2706</v>
      </c>
      <c r="C31" s="14">
        <f>(2245/B31*100)</f>
        <v>82.963784183296369</v>
      </c>
      <c r="D31" s="15">
        <v>461</v>
      </c>
      <c r="E31" s="14">
        <v>25.35856935</v>
      </c>
      <c r="F31" s="16">
        <v>2.0934309</v>
      </c>
      <c r="G31" s="14">
        <v>37.208705250000001</v>
      </c>
      <c r="H31" s="16">
        <v>2.0848388</v>
      </c>
      <c r="I31" s="14">
        <v>37.432725400000002</v>
      </c>
      <c r="J31" s="16">
        <v>2.51642674</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(3042/B33*100)</f>
        <v>83.319638455217742</v>
      </c>
      <c r="D33" s="15">
        <v>609</v>
      </c>
      <c r="E33" s="14">
        <v>30.764220340000001</v>
      </c>
      <c r="F33" s="16">
        <v>2.0839390199999999</v>
      </c>
      <c r="G33" s="14">
        <v>42.257228099999999</v>
      </c>
      <c r="H33" s="16">
        <v>2.14373769</v>
      </c>
      <c r="I33" s="14">
        <v>26.97855156</v>
      </c>
      <c r="J33" s="16">
        <v>1.9670854200000001</v>
      </c>
      <c r="K33" s="14" t="s">
        <v>139</v>
      </c>
      <c r="L33" s="16" t="s">
        <v>139</v>
      </c>
      <c r="M33" s="14">
        <v>0</v>
      </c>
      <c r="N33" s="16">
        <v>0</v>
      </c>
      <c r="O33" s="14">
        <v>0</v>
      </c>
      <c r="P33" s="16">
        <v>0</v>
      </c>
      <c r="Q33" s="14">
        <v>0</v>
      </c>
      <c r="R33" s="16">
        <v>0</v>
      </c>
      <c r="S33" s="14">
        <v>0</v>
      </c>
      <c r="T33" s="16">
        <v>0</v>
      </c>
    </row>
    <row r="34" spans="1:20" x14ac:dyDescent="0.25">
      <c r="A34" s="11" t="s">
        <v>167</v>
      </c>
      <c r="B34" s="13">
        <v>3035</v>
      </c>
      <c r="C34" s="14">
        <f>(2538/B34*100)</f>
        <v>83.62438220757825</v>
      </c>
      <c r="D34" s="15">
        <v>497</v>
      </c>
      <c r="E34" s="14">
        <v>31.27554666</v>
      </c>
      <c r="F34" s="16">
        <v>2.4393144900000001</v>
      </c>
      <c r="G34" s="14">
        <v>37.448231280000002</v>
      </c>
      <c r="H34" s="16">
        <v>2.35161014</v>
      </c>
      <c r="I34" s="14">
        <v>31.276222050000001</v>
      </c>
      <c r="J34" s="16">
        <v>2.2183493400000001</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(2422/B35*100)</f>
        <v>83.488452257842127</v>
      </c>
      <c r="D35" s="15">
        <v>479</v>
      </c>
      <c r="E35" s="14">
        <v>23.875506860000002</v>
      </c>
      <c r="F35" s="16">
        <v>2.3298484199999998</v>
      </c>
      <c r="G35" s="14">
        <v>45.404950929999998</v>
      </c>
      <c r="H35" s="16">
        <v>2.6268879799999998</v>
      </c>
      <c r="I35" s="14">
        <v>30.71954221</v>
      </c>
      <c r="J35" s="16">
        <v>2.4761335400000002</v>
      </c>
      <c r="K35" s="14" t="s">
        <v>139</v>
      </c>
      <c r="L35" s="16" t="s">
        <v>139</v>
      </c>
      <c r="M35" s="14">
        <v>0</v>
      </c>
      <c r="N35" s="16">
        <v>0</v>
      </c>
      <c r="O35" s="14">
        <v>0</v>
      </c>
      <c r="P35" s="16">
        <v>0</v>
      </c>
      <c r="Q35" s="14">
        <v>0</v>
      </c>
      <c r="R35" s="16">
        <v>0</v>
      </c>
      <c r="S35" s="14">
        <v>0</v>
      </c>
      <c r="T35" s="16">
        <v>0</v>
      </c>
    </row>
    <row r="36" spans="1:20" x14ac:dyDescent="0.25">
      <c r="A36" s="11" t="s">
        <v>169</v>
      </c>
      <c r="B36" s="13">
        <v>3404</v>
      </c>
      <c r="C36" s="14">
        <f>(2833/B36*100)</f>
        <v>83.225616921269093</v>
      </c>
      <c r="D36" s="15">
        <v>571</v>
      </c>
      <c r="E36" s="14">
        <v>32.392211670000002</v>
      </c>
      <c r="F36" s="16">
        <v>2.22130106</v>
      </c>
      <c r="G36" s="14">
        <v>35.86243777</v>
      </c>
      <c r="H36" s="16">
        <v>2.1693517400000002</v>
      </c>
      <c r="I36" s="14">
        <v>31.745350569999999</v>
      </c>
      <c r="J36" s="16">
        <v>1.92968283</v>
      </c>
      <c r="K36" s="14" t="s">
        <v>139</v>
      </c>
      <c r="L36" s="16" t="s">
        <v>139</v>
      </c>
      <c r="M36" s="14">
        <v>0</v>
      </c>
      <c r="N36" s="16">
        <v>0</v>
      </c>
      <c r="O36" s="14">
        <v>0</v>
      </c>
      <c r="P36" s="16">
        <v>0</v>
      </c>
      <c r="Q36" s="14">
        <v>0</v>
      </c>
      <c r="R36" s="16">
        <v>0</v>
      </c>
      <c r="S36" s="14">
        <v>0</v>
      </c>
      <c r="T36" s="16">
        <v>0</v>
      </c>
    </row>
    <row r="37" spans="1:20" x14ac:dyDescent="0.25">
      <c r="A37" s="11" t="s">
        <v>170</v>
      </c>
      <c r="B37" s="13">
        <v>2731</v>
      </c>
      <c r="C37" s="14">
        <f>(2268/B37*100)</f>
        <v>83.046503112413035</v>
      </c>
      <c r="D37" s="15">
        <v>463</v>
      </c>
      <c r="E37" s="14">
        <v>23.31380528</v>
      </c>
      <c r="F37" s="16">
        <v>1.9930939700000001</v>
      </c>
      <c r="G37" s="14">
        <v>45.849825699999997</v>
      </c>
      <c r="H37" s="16">
        <v>2.3315421600000001</v>
      </c>
      <c r="I37" s="14">
        <v>30.836369019999999</v>
      </c>
      <c r="J37" s="16">
        <v>2.2367804200000001</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(2414/B39*100)</f>
        <v>82.164737916950301</v>
      </c>
      <c r="D39" s="15">
        <v>524</v>
      </c>
      <c r="E39" s="14">
        <v>27.673162439999999</v>
      </c>
      <c r="F39" s="16">
        <v>2.3175948000000002</v>
      </c>
      <c r="G39" s="14">
        <v>54.230472650000003</v>
      </c>
      <c r="H39" s="16">
        <v>2.1642565600000001</v>
      </c>
      <c r="I39" s="14">
        <v>18.096364909999998</v>
      </c>
      <c r="J39" s="16">
        <v>1.81638367</v>
      </c>
      <c r="K39" s="14" t="s">
        <v>139</v>
      </c>
      <c r="L39" s="16" t="s">
        <v>139</v>
      </c>
      <c r="M39" s="14">
        <v>0</v>
      </c>
      <c r="N39" s="16">
        <v>0</v>
      </c>
      <c r="O39" s="14">
        <v>0</v>
      </c>
      <c r="P39" s="16">
        <v>0</v>
      </c>
      <c r="Q39" s="14">
        <v>0</v>
      </c>
      <c r="R39" s="16">
        <v>0</v>
      </c>
      <c r="S39" s="14">
        <v>0</v>
      </c>
      <c r="T39" s="16">
        <v>0</v>
      </c>
    </row>
    <row r="40" spans="1:20" x14ac:dyDescent="0.25">
      <c r="A40" s="11" t="s">
        <v>173</v>
      </c>
      <c r="B40" s="13">
        <v>6922</v>
      </c>
      <c r="C40" s="14">
        <f>(5733/B40*100)</f>
        <v>82.822883559664845</v>
      </c>
      <c r="D40" s="15">
        <v>1189</v>
      </c>
      <c r="E40" s="14">
        <v>22.461554159999999</v>
      </c>
      <c r="F40" s="16">
        <v>1.8708386699999999</v>
      </c>
      <c r="G40" s="14">
        <v>39.640540700000003</v>
      </c>
      <c r="H40" s="16">
        <v>2.0462448000000002</v>
      </c>
      <c r="I40" s="14">
        <v>37.897905139999999</v>
      </c>
      <c r="J40" s="16">
        <v>2.0579261799999999</v>
      </c>
      <c r="K40" s="14" t="s">
        <v>139</v>
      </c>
      <c r="L40" s="16" t="s">
        <v>139</v>
      </c>
      <c r="M40" s="14">
        <v>0</v>
      </c>
      <c r="N40" s="16">
        <v>0</v>
      </c>
      <c r="O40" s="14">
        <v>0</v>
      </c>
      <c r="P40" s="16">
        <v>0</v>
      </c>
      <c r="Q40" s="14">
        <v>0</v>
      </c>
      <c r="R40" s="16">
        <v>0</v>
      </c>
      <c r="S40" s="14">
        <v>0</v>
      </c>
      <c r="T40" s="16">
        <v>0</v>
      </c>
    </row>
    <row r="41" spans="1:20" x14ac:dyDescent="0.25">
      <c r="A41" s="11" t="s">
        <v>174</v>
      </c>
      <c r="B41" s="13">
        <v>2854</v>
      </c>
      <c r="C41" s="14">
        <f>(2350/B41*100)</f>
        <v>82.340574632095311</v>
      </c>
      <c r="D41" s="15">
        <v>504</v>
      </c>
      <c r="E41" s="14">
        <v>21.415140910000002</v>
      </c>
      <c r="F41" s="16">
        <v>1.64084517</v>
      </c>
      <c r="G41" s="14">
        <v>45.700344479999998</v>
      </c>
      <c r="H41" s="16">
        <v>2.2714530100000001</v>
      </c>
      <c r="I41" s="14">
        <v>32.884514609999997</v>
      </c>
      <c r="J41" s="16">
        <v>2.3864016800000001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83.004258294965311</v>
      </c>
      <c r="D42" s="15">
        <f>IF(COUNT(D7:D41) &gt; 0, AVERAGE(D7:D41), "—")</f>
        <v>613.84375</v>
      </c>
      <c r="E42" s="14">
        <f>IF(COUNT(E7:E41) &gt; 0, AVERAGE(E7:E41), "—")</f>
        <v>24.856694327187501</v>
      </c>
      <c r="F42" s="16">
        <f>IF(COUNT(F7:F41) &gt; 0, SQRT(SUMSQ(F7:F41)/(COUNT(F7:F41)*COUNT(F7:F41)) ), "—")</f>
        <v>0.36012215922928259</v>
      </c>
      <c r="G42" s="14">
        <f>IF(COUNT(G7:G41) &gt; 0, AVERAGE(G7:G41), "—")</f>
        <v>42.652271628125</v>
      </c>
      <c r="H42" s="16">
        <f>IF(COUNT(H7:H41) &gt; 0, SQRT(SUMSQ(H7:H41)/(COUNT(H7:H41)*COUNT(H7:H41)) ), "—")</f>
        <v>0.39914236652841173</v>
      </c>
      <c r="I42" s="14">
        <f>IF(COUNT(I7:I41) &gt; 0, AVERAGE(I7:I41), "—")</f>
        <v>32.491034044687495</v>
      </c>
      <c r="J42" s="16">
        <f>IF(COUNT(J7:J41) &gt; 0, SQRT(SUMSQ(J7:J41)/(COUNT(J7:J41)*COUNT(J7:J41)) ), "—")</f>
        <v>0.38446941063955409</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(10357/B46*100)</f>
        <v>85.786465667191266</v>
      </c>
      <c r="D46" s="15">
        <v>1716</v>
      </c>
      <c r="E46" s="14">
        <v>38.813801329999997</v>
      </c>
      <c r="F46" s="16">
        <v>1.16217156</v>
      </c>
      <c r="G46" s="14">
        <v>47.350728269999998</v>
      </c>
      <c r="H46" s="16">
        <v>1.43749829</v>
      </c>
      <c r="I46" s="14">
        <v>13.8354704</v>
      </c>
      <c r="J46" s="16">
        <v>1.1210953400000001</v>
      </c>
      <c r="K46" s="14" t="s">
        <v>139</v>
      </c>
      <c r="L46" s="16" t="s">
        <v>139</v>
      </c>
      <c r="M46" s="14">
        <v>0</v>
      </c>
      <c r="N46" s="16">
        <v>0</v>
      </c>
      <c r="O46" s="14">
        <v>0</v>
      </c>
      <c r="P46" s="16">
        <v>0</v>
      </c>
      <c r="Q46" s="14">
        <v>0</v>
      </c>
      <c r="R46" s="16">
        <v>0</v>
      </c>
      <c r="S46" s="14">
        <v>0</v>
      </c>
      <c r="T46" s="16">
        <v>0</v>
      </c>
    </row>
    <row r="47" spans="1:20" x14ac:dyDescent="0.25">
      <c r="A47" s="11" t="s">
        <v>180</v>
      </c>
      <c r="B47" s="13">
        <v>2823</v>
      </c>
      <c r="C47" s="14">
        <f>(2337/B47*100)</f>
        <v>82.784272051009566</v>
      </c>
      <c r="D47" s="15">
        <v>486</v>
      </c>
      <c r="E47" s="14">
        <v>37.034182389999998</v>
      </c>
      <c r="F47" s="16">
        <v>2.2518499599999999</v>
      </c>
      <c r="G47" s="14">
        <v>46.339252809999998</v>
      </c>
      <c r="H47" s="16">
        <v>2.2953887800000001</v>
      </c>
      <c r="I47" s="14">
        <v>16.626564800000001</v>
      </c>
      <c r="J47" s="16">
        <v>1.6378181199999999</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(3884/B48*100)</f>
        <v>82.956001708671508</v>
      </c>
      <c r="D48" s="15">
        <v>798</v>
      </c>
      <c r="E48" s="14">
        <v>17.023512910000001</v>
      </c>
      <c r="F48" s="16">
        <v>1.8404974199999999</v>
      </c>
      <c r="G48" s="14">
        <v>43.57351577</v>
      </c>
      <c r="H48" s="16">
        <v>2.4618134500000002</v>
      </c>
      <c r="I48" s="14">
        <v>39.402971319999999</v>
      </c>
      <c r="J48" s="16">
        <v>2.34863979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(5148/B50*100)</f>
        <v>83.598570964598892</v>
      </c>
      <c r="D50" s="15">
        <v>1010</v>
      </c>
      <c r="E50" s="14">
        <v>29.09569205</v>
      </c>
      <c r="F50" s="16">
        <v>1.9065401099999999</v>
      </c>
      <c r="G50" s="14">
        <v>51.874891150000003</v>
      </c>
      <c r="H50" s="16">
        <v>1.89157709</v>
      </c>
      <c r="I50" s="14">
        <v>19.0294168</v>
      </c>
      <c r="J50" s="16">
        <v>1.3020227499999999</v>
      </c>
      <c r="K50" s="14" t="s">
        <v>139</v>
      </c>
      <c r="L50" s="16" t="s">
        <v>139</v>
      </c>
      <c r="M50" s="14">
        <v>0</v>
      </c>
      <c r="N50" s="16">
        <v>0</v>
      </c>
      <c r="O50" s="14">
        <v>0</v>
      </c>
      <c r="P50" s="16">
        <v>0</v>
      </c>
      <c r="Q50" s="14">
        <v>0</v>
      </c>
      <c r="R50" s="16">
        <v>0</v>
      </c>
      <c r="S50" s="14">
        <v>0</v>
      </c>
      <c r="T50" s="16">
        <v>0</v>
      </c>
    </row>
    <row r="51" spans="1:20" x14ac:dyDescent="0.25">
      <c r="A51" s="11" t="s">
        <v>184</v>
      </c>
      <c r="B51" s="13">
        <v>3494</v>
      </c>
      <c r="C51" s="14">
        <f>(2986/B51*100)</f>
        <v>85.460789925586724</v>
      </c>
      <c r="D51" s="15">
        <v>508</v>
      </c>
      <c r="E51" s="14">
        <v>34.022750289999998</v>
      </c>
      <c r="F51" s="16">
        <v>2.2316031500000002</v>
      </c>
      <c r="G51" s="14">
        <v>54.086884439999999</v>
      </c>
      <c r="H51" s="16">
        <v>2.6226189199999999</v>
      </c>
      <c r="I51" s="14">
        <v>11.89036527</v>
      </c>
      <c r="J51" s="16">
        <v>1.6285679900000001</v>
      </c>
      <c r="K51" s="14" t="s">
        <v>139</v>
      </c>
      <c r="L51" s="16" t="s">
        <v>139</v>
      </c>
      <c r="M51" s="14">
        <v>0</v>
      </c>
      <c r="N51" s="16">
        <v>0</v>
      </c>
      <c r="O51" s="14">
        <v>0</v>
      </c>
      <c r="P51" s="16">
        <v>0</v>
      </c>
      <c r="Q51" s="14">
        <v>0</v>
      </c>
      <c r="R51" s="16">
        <v>0</v>
      </c>
      <c r="S51" s="14">
        <v>0</v>
      </c>
      <c r="T51" s="16">
        <v>0</v>
      </c>
    </row>
    <row r="52" spans="1:20" x14ac:dyDescent="0.25">
      <c r="A52" s="11" t="s">
        <v>185</v>
      </c>
      <c r="B52" s="13">
        <v>3013</v>
      </c>
      <c r="C52" s="14">
        <f>(2495/B52*100)</f>
        <v>82.80783272485894</v>
      </c>
      <c r="D52" s="15">
        <v>518</v>
      </c>
      <c r="E52" s="14">
        <v>20.0982801</v>
      </c>
      <c r="F52" s="16">
        <v>1.6440057699999999</v>
      </c>
      <c r="G52" s="14">
        <v>48.511237440000002</v>
      </c>
      <c r="H52" s="16">
        <v>2.4101854399999998</v>
      </c>
      <c r="I52" s="14">
        <v>31.390482460000001</v>
      </c>
      <c r="J52" s="16">
        <v>2.3669381899999999</v>
      </c>
      <c r="K52" s="14" t="s">
        <v>139</v>
      </c>
      <c r="L52" s="16" t="s">
        <v>139</v>
      </c>
      <c r="M52" s="14">
        <v>0</v>
      </c>
      <c r="N52" s="16">
        <v>0</v>
      </c>
      <c r="O52" s="14">
        <v>0</v>
      </c>
      <c r="P52" s="16">
        <v>0</v>
      </c>
      <c r="Q52" s="14">
        <v>0</v>
      </c>
      <c r="R52" s="16">
        <v>0</v>
      </c>
      <c r="S52" s="14">
        <v>0</v>
      </c>
      <c r="T52" s="16">
        <v>0</v>
      </c>
    </row>
    <row r="53" spans="1:20" x14ac:dyDescent="0.25">
      <c r="A53" s="11" t="s">
        <v>186</v>
      </c>
      <c r="B53" s="13">
        <v>2760</v>
      </c>
      <c r="C53" s="14">
        <f>(2306/B53*100)</f>
        <v>83.550724637681157</v>
      </c>
      <c r="D53" s="15">
        <v>454</v>
      </c>
      <c r="E53" s="14">
        <v>36.162151940000001</v>
      </c>
      <c r="F53" s="16">
        <v>2.33187086</v>
      </c>
      <c r="G53" s="14">
        <v>43.0623808</v>
      </c>
      <c r="H53" s="16">
        <v>2.3466511099999998</v>
      </c>
      <c r="I53" s="14">
        <v>20.775467259999999</v>
      </c>
      <c r="J53" s="16">
        <v>1.8579761100000001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(2207/B56*100)</f>
        <v>82.504672897196258</v>
      </c>
      <c r="D56" s="15">
        <v>468</v>
      </c>
      <c r="E56" s="14">
        <v>9.7318415199999997</v>
      </c>
      <c r="F56" s="16">
        <v>1.70468766</v>
      </c>
      <c r="G56" s="14">
        <v>31.898546870000001</v>
      </c>
      <c r="H56" s="16">
        <v>1.92537588</v>
      </c>
      <c r="I56" s="14">
        <v>58.36961161</v>
      </c>
      <c r="J56" s="16">
        <v>2.6306389700000001</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(2646/B61*100)</f>
        <v>82.661668228678536</v>
      </c>
      <c r="D61" s="15">
        <v>555</v>
      </c>
      <c r="E61" s="14">
        <v>26.832201950000002</v>
      </c>
      <c r="F61" s="16">
        <v>2.2534155600000001</v>
      </c>
      <c r="G61" s="14">
        <v>49.478329889999998</v>
      </c>
      <c r="H61" s="16">
        <v>2.3541538900000001</v>
      </c>
      <c r="I61" s="14">
        <v>23.689468160000001</v>
      </c>
      <c r="J61" s="16">
        <v>2.2233437500000002</v>
      </c>
      <c r="K61" s="14" t="s">
        <v>139</v>
      </c>
      <c r="L61" s="16" t="s">
        <v>139</v>
      </c>
      <c r="M61" s="14">
        <v>0</v>
      </c>
      <c r="N61" s="16">
        <v>0</v>
      </c>
      <c r="O61" s="14">
        <v>0</v>
      </c>
      <c r="P61" s="16">
        <v>0</v>
      </c>
      <c r="Q61" s="14">
        <v>0</v>
      </c>
      <c r="R61" s="16">
        <v>0</v>
      </c>
      <c r="S61" s="14">
        <v>0</v>
      </c>
      <c r="T61" s="16">
        <v>0</v>
      </c>
    </row>
    <row r="62" spans="1:20" x14ac:dyDescent="0.25">
      <c r="A62" s="11" t="s">
        <v>195</v>
      </c>
      <c r="B62" s="13">
        <v>2230</v>
      </c>
      <c r="C62" s="14">
        <f>(1858/B62*100)</f>
        <v>83.318385650224215</v>
      </c>
      <c r="D62" s="15">
        <v>372</v>
      </c>
      <c r="E62" s="14">
        <v>10.49813855</v>
      </c>
      <c r="F62" s="16">
        <v>1.67552568</v>
      </c>
      <c r="G62" s="14">
        <v>30.683161609999999</v>
      </c>
      <c r="H62" s="16">
        <v>2.45029165</v>
      </c>
      <c r="I62" s="14">
        <v>58.818699840000001</v>
      </c>
      <c r="J62" s="16">
        <v>2.50345336</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(2291/B66*100)</f>
        <v>82.677733670155177</v>
      </c>
      <c r="D66" s="15">
        <v>480</v>
      </c>
      <c r="E66" s="14">
        <v>38.989495830000003</v>
      </c>
      <c r="F66" s="16">
        <v>2.0814756800000001</v>
      </c>
      <c r="G66" s="14">
        <v>45.584084369999999</v>
      </c>
      <c r="H66" s="16">
        <v>2.18561133</v>
      </c>
      <c r="I66" s="14">
        <v>15.426419790000001</v>
      </c>
      <c r="J66" s="16">
        <v>1.7077737399999999</v>
      </c>
      <c r="K66" s="14" t="s">
        <v>139</v>
      </c>
      <c r="L66" s="16" t="s">
        <v>139</v>
      </c>
      <c r="M66" s="14">
        <v>0</v>
      </c>
      <c r="N66" s="16">
        <v>0</v>
      </c>
      <c r="O66" s="14">
        <v>0</v>
      </c>
      <c r="P66" s="16">
        <v>0</v>
      </c>
      <c r="Q66" s="14">
        <v>0</v>
      </c>
      <c r="R66" s="16">
        <v>0</v>
      </c>
      <c r="S66" s="14">
        <v>0</v>
      </c>
      <c r="T66" s="16">
        <v>0</v>
      </c>
    </row>
    <row r="67" spans="1:20" x14ac:dyDescent="0.25">
      <c r="A67" s="11" t="s">
        <v>200</v>
      </c>
      <c r="B67" s="13">
        <v>3460</v>
      </c>
      <c r="C67" s="14">
        <f>(2946/B67*100)</f>
        <v>85.144508670520239</v>
      </c>
      <c r="D67" s="15">
        <v>514</v>
      </c>
      <c r="E67" s="14">
        <v>29.99713015</v>
      </c>
      <c r="F67" s="16">
        <v>1.8349964000000001</v>
      </c>
      <c r="G67" s="14">
        <v>53.849714740000003</v>
      </c>
      <c r="H67" s="16">
        <v>2.07552432</v>
      </c>
      <c r="I67" s="14">
        <v>16.153155120000001</v>
      </c>
      <c r="J67" s="16">
        <v>1.62225449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(2569/B70*100)</f>
        <v>82.684261345349213</v>
      </c>
      <c r="D70" s="15">
        <v>538</v>
      </c>
      <c r="E70" s="14">
        <v>38.740474990000003</v>
      </c>
      <c r="F70" s="16">
        <v>2.22506139</v>
      </c>
      <c r="G70" s="14">
        <v>41.472667250000001</v>
      </c>
      <c r="H70" s="16">
        <v>2.8566153999999999</v>
      </c>
      <c r="I70" s="14">
        <v>19.78685776</v>
      </c>
      <c r="J70" s="16">
        <v>1.94243587</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(3157/B72*100)</f>
        <v>82.665619272060752</v>
      </c>
      <c r="D72" s="15">
        <v>662</v>
      </c>
      <c r="E72" s="14">
        <v>10.37154209</v>
      </c>
      <c r="F72" s="16">
        <v>1.33825287</v>
      </c>
      <c r="G72" s="14">
        <v>40.135635620000002</v>
      </c>
      <c r="H72" s="16">
        <v>2.0640421199999999</v>
      </c>
      <c r="I72" s="14">
        <v>49.492822289999999</v>
      </c>
      <c r="J72" s="16">
        <v>2.18049231</v>
      </c>
      <c r="K72" s="14" t="s">
        <v>139</v>
      </c>
      <c r="L72" s="16" t="s">
        <v>139</v>
      </c>
      <c r="M72" s="14">
        <v>0</v>
      </c>
      <c r="N72" s="16">
        <v>0</v>
      </c>
      <c r="O72" s="14">
        <v>0</v>
      </c>
      <c r="P72" s="16">
        <v>0</v>
      </c>
      <c r="Q72" s="14">
        <v>0</v>
      </c>
      <c r="R72" s="16">
        <v>0</v>
      </c>
      <c r="S72" s="14">
        <v>0</v>
      </c>
      <c r="T72" s="16">
        <v>0</v>
      </c>
    </row>
    <row r="73" spans="1:20" x14ac:dyDescent="0.25">
      <c r="A73" s="11" t="s">
        <v>206</v>
      </c>
      <c r="B73" s="13">
        <v>4652</v>
      </c>
      <c r="C73" s="14">
        <f>(3903/B73*100)</f>
        <v>83.899398108340492</v>
      </c>
      <c r="D73" s="15">
        <v>749</v>
      </c>
      <c r="E73" s="14">
        <v>23.261943899999999</v>
      </c>
      <c r="F73" s="16">
        <v>2.1674646800000001</v>
      </c>
      <c r="G73" s="14">
        <v>49.999027890000001</v>
      </c>
      <c r="H73" s="16">
        <v>2.4512145699999999</v>
      </c>
      <c r="I73" s="14">
        <v>26.739028220000002</v>
      </c>
      <c r="J73" s="16">
        <v>2.1076214800000002</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(2508/B75*100)</f>
        <v>84.472886493768954</v>
      </c>
      <c r="D75" s="15">
        <v>461</v>
      </c>
      <c r="E75" s="14">
        <v>35.101921310000002</v>
      </c>
      <c r="F75" s="16">
        <v>2.3217420799999999</v>
      </c>
      <c r="G75" s="14">
        <v>53.958669630000003</v>
      </c>
      <c r="H75" s="16">
        <v>2.6072106000000002</v>
      </c>
      <c r="I75" s="14">
        <v>10.939409059999999</v>
      </c>
      <c r="J75" s="16">
        <v>1.5967453700000001</v>
      </c>
      <c r="K75" s="14" t="s">
        <v>139</v>
      </c>
      <c r="L75" s="16" t="s">
        <v>139</v>
      </c>
      <c r="M75" s="14">
        <v>0</v>
      </c>
      <c r="N75" s="16">
        <v>0</v>
      </c>
      <c r="O75" s="14">
        <v>0</v>
      </c>
      <c r="P75" s="16">
        <v>0</v>
      </c>
      <c r="Q75" s="14">
        <v>0</v>
      </c>
      <c r="R75" s="16">
        <v>0</v>
      </c>
      <c r="S75" s="14">
        <v>0</v>
      </c>
      <c r="T75" s="16">
        <v>0</v>
      </c>
    </row>
    <row r="76" spans="1:20" x14ac:dyDescent="0.25">
      <c r="A76" s="11" t="s">
        <v>209</v>
      </c>
      <c r="B76" s="13">
        <v>7115</v>
      </c>
      <c r="C76" s="14">
        <f>(5907/B76*100)</f>
        <v>83.021784961349269</v>
      </c>
      <c r="D76" s="15">
        <v>1208</v>
      </c>
      <c r="E76" s="14">
        <v>36.616446439999997</v>
      </c>
      <c r="F76" s="16">
        <v>2.1492712300000001</v>
      </c>
      <c r="G76" s="14">
        <v>44.487525189999999</v>
      </c>
      <c r="H76" s="16">
        <v>2.0440835800000001</v>
      </c>
      <c r="I76" s="14">
        <v>18.896028380000001</v>
      </c>
      <c r="J76" s="16">
        <v>1.14876252</v>
      </c>
      <c r="K76" s="14" t="s">
        <v>139</v>
      </c>
      <c r="L76" s="16" t="s">
        <v>139</v>
      </c>
      <c r="M76" s="14">
        <v>0</v>
      </c>
      <c r="N76" s="16">
        <v>0</v>
      </c>
      <c r="O76" s="14">
        <v>0</v>
      </c>
      <c r="P76" s="16">
        <v>0</v>
      </c>
      <c r="Q76" s="14">
        <v>0</v>
      </c>
      <c r="R76" s="16">
        <v>0</v>
      </c>
      <c r="S76" s="14">
        <v>0</v>
      </c>
      <c r="T76" s="16">
        <v>0</v>
      </c>
    </row>
    <row r="77" spans="1:20" x14ac:dyDescent="0.25">
      <c r="A77" s="11" t="s">
        <v>210</v>
      </c>
      <c r="B77" s="13">
        <v>3154</v>
      </c>
      <c r="C77" s="14">
        <f>(2619/B77*100)</f>
        <v>83.037412809131268</v>
      </c>
      <c r="D77" s="15">
        <v>535</v>
      </c>
      <c r="E77" s="14">
        <v>35.342328930000001</v>
      </c>
      <c r="F77" s="16">
        <v>2.0956850299999998</v>
      </c>
      <c r="G77" s="14">
        <v>46.95190418</v>
      </c>
      <c r="H77" s="16">
        <v>2.0938126399999999</v>
      </c>
      <c r="I77" s="14">
        <v>17.705766879999999</v>
      </c>
      <c r="J77" s="16">
        <v>1.8454907300000001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(3893/B81*100)</f>
        <v>82.865048957002983</v>
      </c>
      <c r="D81" s="15">
        <v>805</v>
      </c>
      <c r="E81" s="14">
        <v>36.614737269999999</v>
      </c>
      <c r="F81" s="16">
        <v>2.0659486600000001</v>
      </c>
      <c r="G81" s="14">
        <v>42.152640169999998</v>
      </c>
      <c r="H81" s="16">
        <v>2.00898551</v>
      </c>
      <c r="I81" s="14">
        <v>21.232622559999999</v>
      </c>
      <c r="J81" s="16">
        <v>1.59990236</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334</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229</v>
      </c>
      <c r="F4" s="25"/>
      <c r="G4" s="24" t="s">
        <v>230</v>
      </c>
      <c r="H4" s="25"/>
      <c r="I4" s="24" t="s">
        <v>232</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(5930/B7*100)</f>
        <v>82.786541951696208</v>
      </c>
      <c r="D7" s="15">
        <v>1233</v>
      </c>
      <c r="E7" s="14">
        <v>85.379145469999997</v>
      </c>
      <c r="F7" s="16">
        <v>1.2423179900000001</v>
      </c>
      <c r="G7" s="14">
        <v>5.8003259399999996</v>
      </c>
      <c r="H7" s="16">
        <v>0.72734871999999995</v>
      </c>
      <c r="I7" s="14">
        <v>8.8205285900000003</v>
      </c>
      <c r="J7" s="16">
        <v>1.0872642299999999</v>
      </c>
      <c r="K7" s="14" t="s">
        <v>139</v>
      </c>
      <c r="L7" s="16" t="s">
        <v>139</v>
      </c>
      <c r="M7" s="14">
        <v>0</v>
      </c>
      <c r="N7" s="16">
        <v>0</v>
      </c>
      <c r="O7" s="14">
        <v>0</v>
      </c>
      <c r="P7" s="16">
        <v>0</v>
      </c>
      <c r="Q7" s="14">
        <v>0</v>
      </c>
      <c r="R7" s="16">
        <v>0</v>
      </c>
      <c r="S7" s="14">
        <v>0</v>
      </c>
      <c r="T7" s="16">
        <v>0</v>
      </c>
    </row>
    <row r="8" spans="1:20" x14ac:dyDescent="0.25">
      <c r="A8" s="11" t="s">
        <v>140</v>
      </c>
      <c r="B8" s="13">
        <v>3443</v>
      </c>
      <c r="C8" s="14">
        <f>(2831/B8*100)</f>
        <v>82.224803950043565</v>
      </c>
      <c r="D8" s="15">
        <v>612</v>
      </c>
      <c r="E8" s="14">
        <v>87.820049089999998</v>
      </c>
      <c r="F8" s="16">
        <v>1.3029168499999999</v>
      </c>
      <c r="G8" s="14">
        <v>5.6909907899999999</v>
      </c>
      <c r="H8" s="16">
        <v>1.0229121999999999</v>
      </c>
      <c r="I8" s="14">
        <v>6.4889601199999998</v>
      </c>
      <c r="J8" s="16">
        <v>0.98006824000000003</v>
      </c>
      <c r="K8" s="14" t="s">
        <v>139</v>
      </c>
      <c r="L8" s="16" t="s">
        <v>139</v>
      </c>
      <c r="M8" s="14">
        <v>0</v>
      </c>
      <c r="N8" s="16">
        <v>0</v>
      </c>
      <c r="O8" s="14">
        <v>0</v>
      </c>
      <c r="P8" s="16">
        <v>0</v>
      </c>
      <c r="Q8" s="14">
        <v>0</v>
      </c>
      <c r="R8" s="16">
        <v>0</v>
      </c>
      <c r="S8" s="14">
        <v>0</v>
      </c>
      <c r="T8" s="16">
        <v>0</v>
      </c>
    </row>
    <row r="9" spans="1:20" x14ac:dyDescent="0.25">
      <c r="A9" s="11" t="s">
        <v>141</v>
      </c>
      <c r="B9" s="13">
        <v>4752</v>
      </c>
      <c r="C9" s="14">
        <f>(3971/B9*100)</f>
        <v>83.56481481481481</v>
      </c>
      <c r="D9" s="15">
        <v>781</v>
      </c>
      <c r="E9" s="14">
        <v>91.244143370000003</v>
      </c>
      <c r="F9" s="16">
        <v>0.95654536999999995</v>
      </c>
      <c r="G9" s="14">
        <v>3.6099721699999998</v>
      </c>
      <c r="H9" s="16">
        <v>0.70118354999999999</v>
      </c>
      <c r="I9" s="14">
        <v>5.1458844600000004</v>
      </c>
      <c r="J9" s="16">
        <v>0.72482166999999997</v>
      </c>
      <c r="K9" s="14" t="s">
        <v>139</v>
      </c>
      <c r="L9" s="16" t="s">
        <v>139</v>
      </c>
      <c r="M9" s="14">
        <v>0</v>
      </c>
      <c r="N9" s="16">
        <v>0</v>
      </c>
      <c r="O9" s="14">
        <v>0</v>
      </c>
      <c r="P9" s="16">
        <v>0</v>
      </c>
      <c r="Q9" s="14">
        <v>0</v>
      </c>
      <c r="R9" s="16">
        <v>0</v>
      </c>
      <c r="S9" s="14">
        <v>0</v>
      </c>
      <c r="T9" s="16">
        <v>0</v>
      </c>
    </row>
    <row r="10" spans="1:20" x14ac:dyDescent="0.25">
      <c r="A10" s="11" t="s">
        <v>142</v>
      </c>
      <c r="B10" s="13">
        <v>10022</v>
      </c>
      <c r="C10" s="14">
        <f>(8308/B10*100)</f>
        <v>82.897625224506086</v>
      </c>
      <c r="D10" s="15">
        <v>1714</v>
      </c>
      <c r="E10" s="14">
        <v>86.553179610000001</v>
      </c>
      <c r="F10" s="16">
        <v>0.99251296</v>
      </c>
      <c r="G10" s="14">
        <v>5.0327020300000003</v>
      </c>
      <c r="H10" s="16">
        <v>0.69196120999999999</v>
      </c>
      <c r="I10" s="14">
        <v>8.4141183599999998</v>
      </c>
      <c r="J10" s="16">
        <v>0.85006263000000004</v>
      </c>
      <c r="K10" s="14" t="s">
        <v>139</v>
      </c>
      <c r="L10" s="16" t="s">
        <v>139</v>
      </c>
      <c r="M10" s="14">
        <v>0</v>
      </c>
      <c r="N10" s="16">
        <v>0</v>
      </c>
      <c r="O10" s="14">
        <v>0</v>
      </c>
      <c r="P10" s="16">
        <v>0</v>
      </c>
      <c r="Q10" s="14">
        <v>0</v>
      </c>
      <c r="R10" s="16">
        <v>0</v>
      </c>
      <c r="S10" s="14">
        <v>0</v>
      </c>
      <c r="T10" s="16">
        <v>0</v>
      </c>
    </row>
    <row r="11" spans="1:20" x14ac:dyDescent="0.25">
      <c r="A11" s="11" t="s">
        <v>143</v>
      </c>
      <c r="B11" s="13">
        <v>3500</v>
      </c>
      <c r="C11" s="14">
        <f>(2893/B11*100)</f>
        <v>82.657142857142858</v>
      </c>
      <c r="D11" s="15">
        <v>607</v>
      </c>
      <c r="E11" s="14">
        <v>90.43211479</v>
      </c>
      <c r="F11" s="16">
        <v>1.58412979</v>
      </c>
      <c r="G11" s="14">
        <v>5.3391462599999997</v>
      </c>
      <c r="H11" s="16">
        <v>1.06311826</v>
      </c>
      <c r="I11" s="14">
        <v>4.2287389500000003</v>
      </c>
      <c r="J11" s="16">
        <v>1.05868443</v>
      </c>
      <c r="K11" s="14" t="s">
        <v>139</v>
      </c>
      <c r="L11" s="16" t="s">
        <v>139</v>
      </c>
      <c r="M11" s="14">
        <v>0</v>
      </c>
      <c r="N11" s="16">
        <v>0</v>
      </c>
      <c r="O11" s="14">
        <v>0</v>
      </c>
      <c r="P11" s="16">
        <v>0</v>
      </c>
      <c r="Q11" s="14">
        <v>0</v>
      </c>
      <c r="R11" s="16">
        <v>0</v>
      </c>
      <c r="S11" s="14">
        <v>0</v>
      </c>
      <c r="T11" s="16">
        <v>0</v>
      </c>
    </row>
    <row r="12" spans="1:20" x14ac:dyDescent="0.25">
      <c r="A12" s="11" t="s">
        <v>144</v>
      </c>
      <c r="B12" s="13">
        <v>3422</v>
      </c>
      <c r="C12" s="14">
        <f>(2868/B12*100)</f>
        <v>83.810637054354174</v>
      </c>
      <c r="D12" s="15">
        <v>554</v>
      </c>
      <c r="E12" s="14">
        <v>87.990172670000007</v>
      </c>
      <c r="F12" s="16">
        <v>1.49566818</v>
      </c>
      <c r="G12" s="14">
        <v>4.9474812799999999</v>
      </c>
      <c r="H12" s="16">
        <v>1.02448775</v>
      </c>
      <c r="I12" s="14">
        <v>7.0623460500000004</v>
      </c>
      <c r="J12" s="16">
        <v>1.05391674</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(3005/B13*100)</f>
        <v>83.425874514158807</v>
      </c>
      <c r="D13" s="15">
        <v>597</v>
      </c>
      <c r="E13" s="14">
        <v>85.494754619999995</v>
      </c>
      <c r="F13" s="16">
        <v>1.79612751</v>
      </c>
      <c r="G13" s="14">
        <v>3.4340649399999998</v>
      </c>
      <c r="H13" s="16">
        <v>0.95066987000000003</v>
      </c>
      <c r="I13" s="14">
        <v>11.07118045</v>
      </c>
      <c r="J13" s="16">
        <v>1.5002141499999999</v>
      </c>
      <c r="K13" s="14" t="s">
        <v>139</v>
      </c>
      <c r="L13" s="16" t="s">
        <v>139</v>
      </c>
      <c r="M13" s="14">
        <v>0</v>
      </c>
      <c r="N13" s="16">
        <v>0</v>
      </c>
      <c r="O13" s="14">
        <v>0</v>
      </c>
      <c r="P13" s="16">
        <v>0</v>
      </c>
      <c r="Q13" s="14">
        <v>0</v>
      </c>
      <c r="R13" s="16">
        <v>0</v>
      </c>
      <c r="S13" s="14">
        <v>0</v>
      </c>
      <c r="T13" s="16">
        <v>0</v>
      </c>
    </row>
    <row r="14" spans="1:20" x14ac:dyDescent="0.25">
      <c r="A14" s="11" t="s">
        <v>146</v>
      </c>
      <c r="B14" s="13">
        <v>2788</v>
      </c>
      <c r="C14" s="14">
        <f>(2306/B14*100)</f>
        <v>82.711621233859404</v>
      </c>
      <c r="D14" s="15">
        <v>482</v>
      </c>
      <c r="E14" s="14">
        <v>87.08419628</v>
      </c>
      <c r="F14" s="16">
        <v>1.60429811</v>
      </c>
      <c r="G14" s="14">
        <v>3.9910454199999998</v>
      </c>
      <c r="H14" s="16">
        <v>1.0440025399999999</v>
      </c>
      <c r="I14" s="14">
        <v>8.9247583000000006</v>
      </c>
      <c r="J14" s="16">
        <v>1.3364874600000001</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(2364/B15*100)</f>
        <v>82.570730003492841</v>
      </c>
      <c r="D15" s="15">
        <v>499</v>
      </c>
      <c r="E15" s="14">
        <v>89.220339699999997</v>
      </c>
      <c r="F15" s="16">
        <v>1.44056403</v>
      </c>
      <c r="G15" s="14">
        <v>1.63309053</v>
      </c>
      <c r="H15" s="16">
        <v>0.58268931000000002</v>
      </c>
      <c r="I15" s="14">
        <v>9.1465697699999993</v>
      </c>
      <c r="J15" s="16">
        <v>1.34467227</v>
      </c>
      <c r="K15" s="14" t="s">
        <v>139</v>
      </c>
      <c r="L15" s="16" t="s">
        <v>139</v>
      </c>
      <c r="M15" s="14">
        <v>0</v>
      </c>
      <c r="N15" s="16">
        <v>0</v>
      </c>
      <c r="O15" s="14">
        <v>0</v>
      </c>
      <c r="P15" s="16">
        <v>0</v>
      </c>
      <c r="Q15" s="14">
        <v>0</v>
      </c>
      <c r="R15" s="16">
        <v>0</v>
      </c>
      <c r="S15" s="14">
        <v>0</v>
      </c>
      <c r="T15" s="16">
        <v>0</v>
      </c>
    </row>
    <row r="16" spans="1:20" x14ac:dyDescent="0.25">
      <c r="A16" s="11" t="s">
        <v>148</v>
      </c>
      <c r="B16" s="13">
        <v>3111</v>
      </c>
      <c r="C16" s="14">
        <f>(2570/B16*100)</f>
        <v>82.610093217614917</v>
      </c>
      <c r="D16" s="15">
        <v>541</v>
      </c>
      <c r="E16" s="14">
        <v>90.981480790000006</v>
      </c>
      <c r="F16" s="16">
        <v>1.26968546</v>
      </c>
      <c r="G16" s="14">
        <v>3.5604971500000002</v>
      </c>
      <c r="H16" s="16">
        <v>0.72362146999999999</v>
      </c>
      <c r="I16" s="14">
        <v>5.4580220500000003</v>
      </c>
      <c r="J16" s="16">
        <v>0.98359238000000004</v>
      </c>
      <c r="K16" s="14" t="s">
        <v>139</v>
      </c>
      <c r="L16" s="16" t="s">
        <v>139</v>
      </c>
      <c r="M16" s="14">
        <v>0</v>
      </c>
      <c r="N16" s="16">
        <v>0</v>
      </c>
      <c r="O16" s="14">
        <v>0</v>
      </c>
      <c r="P16" s="16">
        <v>0</v>
      </c>
      <c r="Q16" s="14">
        <v>0</v>
      </c>
      <c r="R16" s="16">
        <v>0</v>
      </c>
      <c r="S16" s="14">
        <v>0</v>
      </c>
      <c r="T16" s="16">
        <v>0</v>
      </c>
    </row>
    <row r="17" spans="1:20" x14ac:dyDescent="0.25">
      <c r="A17" s="11" t="s">
        <v>149</v>
      </c>
      <c r="B17" s="13">
        <v>3197</v>
      </c>
      <c r="C17" s="14">
        <f>(2623/B17*100)</f>
        <v>82.045667813575236</v>
      </c>
      <c r="D17" s="15">
        <v>574</v>
      </c>
      <c r="E17" s="14">
        <v>87.262916189999999</v>
      </c>
      <c r="F17" s="16">
        <v>1.2067415100000001</v>
      </c>
      <c r="G17" s="14">
        <v>5.4728381500000003</v>
      </c>
      <c r="H17" s="16">
        <v>0.91445087999999997</v>
      </c>
      <c r="I17" s="14">
        <v>7.2642456600000003</v>
      </c>
      <c r="J17" s="16">
        <v>0.99158780000000002</v>
      </c>
      <c r="K17" s="14" t="s">
        <v>139</v>
      </c>
      <c r="L17" s="16" t="s">
        <v>139</v>
      </c>
      <c r="M17" s="14">
        <v>0</v>
      </c>
      <c r="N17" s="16">
        <v>0</v>
      </c>
      <c r="O17" s="14">
        <v>0</v>
      </c>
      <c r="P17" s="16">
        <v>0</v>
      </c>
      <c r="Q17" s="14">
        <v>0</v>
      </c>
      <c r="R17" s="16">
        <v>0</v>
      </c>
      <c r="S17" s="14">
        <v>0</v>
      </c>
      <c r="T17" s="16">
        <v>0</v>
      </c>
    </row>
    <row r="18" spans="1:20" x14ac:dyDescent="0.25">
      <c r="A18" s="11" t="s">
        <v>150</v>
      </c>
      <c r="B18" s="13">
        <v>2706</v>
      </c>
      <c r="C18" s="14">
        <f>(2235/B18*100)</f>
        <v>82.594235033259423</v>
      </c>
      <c r="D18" s="15">
        <v>471</v>
      </c>
      <c r="E18" s="14">
        <v>90.144785069999998</v>
      </c>
      <c r="F18" s="16">
        <v>1.60776367</v>
      </c>
      <c r="G18" s="14">
        <v>5.56302948</v>
      </c>
      <c r="H18" s="16">
        <v>1.0145004099999999</v>
      </c>
      <c r="I18" s="14">
        <v>4.2921854599999998</v>
      </c>
      <c r="J18" s="16">
        <v>1.00359021</v>
      </c>
      <c r="K18" s="14" t="s">
        <v>139</v>
      </c>
      <c r="L18" s="16" t="s">
        <v>139</v>
      </c>
      <c r="M18" s="14">
        <v>0</v>
      </c>
      <c r="N18" s="16">
        <v>0</v>
      </c>
      <c r="O18" s="14">
        <v>0</v>
      </c>
      <c r="P18" s="16">
        <v>0</v>
      </c>
      <c r="Q18" s="14">
        <v>0</v>
      </c>
      <c r="R18" s="16">
        <v>0</v>
      </c>
      <c r="S18" s="14">
        <v>0</v>
      </c>
      <c r="T18" s="16">
        <v>0</v>
      </c>
    </row>
    <row r="19" spans="1:20" x14ac:dyDescent="0.25">
      <c r="A19" s="11" t="s">
        <v>151</v>
      </c>
      <c r="B19" s="13">
        <v>2850</v>
      </c>
      <c r="C19" s="14">
        <f>(2366/B19*100)</f>
        <v>83.017543859649123</v>
      </c>
      <c r="D19" s="15">
        <v>484</v>
      </c>
      <c r="E19" s="14">
        <v>89.600329849999994</v>
      </c>
      <c r="F19" s="16">
        <v>1.8380067099999999</v>
      </c>
      <c r="G19" s="14">
        <v>5.0232894999999997</v>
      </c>
      <c r="H19" s="16">
        <v>1.19781322</v>
      </c>
      <c r="I19" s="14">
        <v>5.3763806499999998</v>
      </c>
      <c r="J19" s="16">
        <v>1.15665865</v>
      </c>
      <c r="K19" s="14" t="s">
        <v>139</v>
      </c>
      <c r="L19" s="16" t="s">
        <v>139</v>
      </c>
      <c r="M19" s="14">
        <v>0</v>
      </c>
      <c r="N19" s="16">
        <v>0</v>
      </c>
      <c r="O19" s="14">
        <v>0</v>
      </c>
      <c r="P19" s="16">
        <v>0</v>
      </c>
      <c r="Q19" s="14">
        <v>0</v>
      </c>
      <c r="R19" s="16">
        <v>0</v>
      </c>
      <c r="S19" s="14">
        <v>0</v>
      </c>
      <c r="T19" s="16">
        <v>0</v>
      </c>
    </row>
    <row r="20" spans="1:20" x14ac:dyDescent="0.25">
      <c r="A20" s="11" t="s">
        <v>152</v>
      </c>
      <c r="B20" s="13">
        <v>1741</v>
      </c>
      <c r="C20" s="14">
        <f>(1442/B20*100)</f>
        <v>82.825962090752441</v>
      </c>
      <c r="D20" s="15">
        <v>299</v>
      </c>
      <c r="E20" s="14">
        <v>91.495033309999997</v>
      </c>
      <c r="F20" s="16">
        <v>1.75296787</v>
      </c>
      <c r="G20" s="14">
        <v>4.70048391</v>
      </c>
      <c r="H20" s="16">
        <v>1.17803635</v>
      </c>
      <c r="I20" s="14">
        <v>3.8044827799999998</v>
      </c>
      <c r="J20" s="16">
        <v>1.1757304200000001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(3135/B22*100)</f>
        <v>85.492227979274617</v>
      </c>
      <c r="D22" s="15">
        <v>532</v>
      </c>
      <c r="E22" s="14">
        <v>91.270492480000001</v>
      </c>
      <c r="F22" s="16">
        <v>1.13102371</v>
      </c>
      <c r="G22" s="14">
        <v>3.15961275</v>
      </c>
      <c r="H22" s="16">
        <v>0.72023983999999996</v>
      </c>
      <c r="I22" s="14">
        <v>5.5698947600000004</v>
      </c>
      <c r="J22" s="16">
        <v>0.89776692000000002</v>
      </c>
      <c r="K22" s="14" t="s">
        <v>139</v>
      </c>
      <c r="L22" s="16" t="s">
        <v>139</v>
      </c>
      <c r="M22" s="14">
        <v>0</v>
      </c>
      <c r="N22" s="16">
        <v>0</v>
      </c>
      <c r="O22" s="14">
        <v>0</v>
      </c>
      <c r="P22" s="16">
        <v>0</v>
      </c>
      <c r="Q22" s="14">
        <v>0</v>
      </c>
      <c r="R22" s="16">
        <v>0</v>
      </c>
      <c r="S22" s="14">
        <v>0</v>
      </c>
      <c r="T22" s="16">
        <v>0</v>
      </c>
    </row>
    <row r="23" spans="1:20" x14ac:dyDescent="0.25">
      <c r="A23" s="11" t="s">
        <v>156</v>
      </c>
      <c r="B23" s="13">
        <v>5792</v>
      </c>
      <c r="C23" s="14">
        <f>(4796/B23*100)</f>
        <v>82.803867403314911</v>
      </c>
      <c r="D23" s="15">
        <v>996</v>
      </c>
      <c r="E23" s="14">
        <v>89.583048070000004</v>
      </c>
      <c r="F23" s="16">
        <v>1.45919047</v>
      </c>
      <c r="G23" s="14">
        <v>4.6531445800000002</v>
      </c>
      <c r="H23" s="16">
        <v>1.1778961100000001</v>
      </c>
      <c r="I23" s="14">
        <v>5.7638073500000004</v>
      </c>
      <c r="J23" s="16">
        <v>0.98812208999999995</v>
      </c>
      <c r="K23" s="14" t="s">
        <v>139</v>
      </c>
      <c r="L23" s="16" t="s">
        <v>139</v>
      </c>
      <c r="M23" s="14">
        <v>0</v>
      </c>
      <c r="N23" s="16">
        <v>0</v>
      </c>
      <c r="O23" s="14">
        <v>0</v>
      </c>
      <c r="P23" s="16">
        <v>0</v>
      </c>
      <c r="Q23" s="14">
        <v>0</v>
      </c>
      <c r="R23" s="16">
        <v>0</v>
      </c>
      <c r="S23" s="14">
        <v>0</v>
      </c>
      <c r="T23" s="16">
        <v>0</v>
      </c>
    </row>
    <row r="24" spans="1:20" x14ac:dyDescent="0.25">
      <c r="A24" s="11" t="s">
        <v>157</v>
      </c>
      <c r="B24" s="13">
        <v>3309</v>
      </c>
      <c r="C24" s="14">
        <f>(2718/B24*100)</f>
        <v>82.139619220308248</v>
      </c>
      <c r="D24" s="15">
        <v>591</v>
      </c>
      <c r="E24" s="14">
        <v>88.666662590000001</v>
      </c>
      <c r="F24" s="16">
        <v>1.35075137</v>
      </c>
      <c r="G24" s="14">
        <v>1.4550519200000001</v>
      </c>
      <c r="H24" s="16">
        <v>0.48950560999999998</v>
      </c>
      <c r="I24" s="14">
        <v>9.8782854899999997</v>
      </c>
      <c r="J24" s="16">
        <v>1.28794498</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88.402485400000003</v>
      </c>
      <c r="F25" s="16">
        <v>1.4587080299999999</v>
      </c>
      <c r="G25" s="14">
        <v>3.2053853000000001</v>
      </c>
      <c r="H25" s="16">
        <v>0.69008590000000003</v>
      </c>
      <c r="I25" s="14">
        <v>8.3921293000000006</v>
      </c>
      <c r="J25" s="16">
        <v>1.36850614</v>
      </c>
      <c r="K25" s="14" t="s">
        <v>139</v>
      </c>
      <c r="L25" s="16" t="s">
        <v>139</v>
      </c>
      <c r="M25" s="14">
        <v>0</v>
      </c>
      <c r="N25" s="16">
        <v>0</v>
      </c>
      <c r="O25" s="14">
        <v>0</v>
      </c>
      <c r="P25" s="16">
        <v>0</v>
      </c>
      <c r="Q25" s="14">
        <v>0</v>
      </c>
      <c r="R25" s="16">
        <v>0</v>
      </c>
      <c r="S25" s="14">
        <v>0</v>
      </c>
      <c r="T25" s="16">
        <v>0</v>
      </c>
    </row>
    <row r="26" spans="1:20" x14ac:dyDescent="0.25">
      <c r="A26" s="11" t="s">
        <v>159</v>
      </c>
      <c r="B26" s="13">
        <v>2419</v>
      </c>
      <c r="C26" s="14">
        <f>(1989/B26*100)</f>
        <v>82.224059528730876</v>
      </c>
      <c r="D26" s="15">
        <v>430</v>
      </c>
      <c r="E26" s="14">
        <v>89.705825430000004</v>
      </c>
      <c r="F26" s="16">
        <v>1.5653778899999999</v>
      </c>
      <c r="G26" s="14">
        <v>3.1917663599999999</v>
      </c>
      <c r="H26" s="16">
        <v>1.00828955</v>
      </c>
      <c r="I26" s="14">
        <v>7.1024082100000001</v>
      </c>
      <c r="J26" s="16">
        <v>1.3573902099999999</v>
      </c>
      <c r="K26" s="14" t="s">
        <v>139</v>
      </c>
      <c r="L26" s="16" t="s">
        <v>139</v>
      </c>
      <c r="M26" s="14">
        <v>0</v>
      </c>
      <c r="N26" s="16">
        <v>0</v>
      </c>
      <c r="O26" s="14">
        <v>0</v>
      </c>
      <c r="P26" s="16">
        <v>0</v>
      </c>
      <c r="Q26" s="14">
        <v>0</v>
      </c>
      <c r="R26" s="16">
        <v>0</v>
      </c>
      <c r="S26" s="14">
        <v>0</v>
      </c>
      <c r="T26" s="16">
        <v>0</v>
      </c>
    </row>
    <row r="27" spans="1:20" x14ac:dyDescent="0.25">
      <c r="A27" s="11" t="s">
        <v>160</v>
      </c>
      <c r="B27" s="13">
        <v>2683</v>
      </c>
      <c r="C27" s="14">
        <f>(2210/B27*100)</f>
        <v>82.370480805068951</v>
      </c>
      <c r="D27" s="15">
        <v>473</v>
      </c>
      <c r="E27" s="14">
        <v>88.943869680000006</v>
      </c>
      <c r="F27" s="16">
        <v>1.42254338</v>
      </c>
      <c r="G27" s="14">
        <v>4.5258290199999998</v>
      </c>
      <c r="H27" s="16">
        <v>0.97986086999999999</v>
      </c>
      <c r="I27" s="14">
        <v>6.5303012999999996</v>
      </c>
      <c r="J27" s="16">
        <v>1.21561644</v>
      </c>
      <c r="K27" s="14" t="s">
        <v>139</v>
      </c>
      <c r="L27" s="16" t="s">
        <v>139</v>
      </c>
      <c r="M27" s="14">
        <v>0</v>
      </c>
      <c r="N27" s="16">
        <v>0</v>
      </c>
      <c r="O27" s="14">
        <v>0</v>
      </c>
      <c r="P27" s="16">
        <v>0</v>
      </c>
      <c r="Q27" s="14">
        <v>0</v>
      </c>
      <c r="R27" s="16">
        <v>0</v>
      </c>
      <c r="S27" s="14">
        <v>0</v>
      </c>
      <c r="T27" s="16">
        <v>0</v>
      </c>
    </row>
    <row r="28" spans="1:20" x14ac:dyDescent="0.25">
      <c r="A28" s="11" t="s">
        <v>161</v>
      </c>
      <c r="B28" s="13">
        <v>3803</v>
      </c>
      <c r="C28" s="14">
        <f>(3184/B28*100)</f>
        <v>83.723376281882722</v>
      </c>
      <c r="D28" s="15">
        <v>619</v>
      </c>
      <c r="E28" s="14">
        <v>90.112543310000007</v>
      </c>
      <c r="F28" s="16">
        <v>1.40764578</v>
      </c>
      <c r="G28" s="14">
        <v>6.6227095299999998</v>
      </c>
      <c r="H28" s="16">
        <v>1.3076037899999999</v>
      </c>
      <c r="I28" s="14">
        <v>3.2647471600000002</v>
      </c>
      <c r="J28" s="16">
        <v>0.73710171000000002</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(2264/B29*100)</f>
        <v>83.851851851851862</v>
      </c>
      <c r="D29" s="15">
        <v>436</v>
      </c>
      <c r="E29" s="14">
        <v>92.967275619999995</v>
      </c>
      <c r="F29" s="16">
        <v>1.46422089</v>
      </c>
      <c r="G29" s="14">
        <v>2.84244436</v>
      </c>
      <c r="H29" s="16">
        <v>0.87656173000000004</v>
      </c>
      <c r="I29" s="14">
        <v>4.1902800300000003</v>
      </c>
      <c r="J29" s="16">
        <v>0.98996867</v>
      </c>
      <c r="K29" s="14" t="s">
        <v>139</v>
      </c>
      <c r="L29" s="16" t="s">
        <v>139</v>
      </c>
      <c r="M29" s="14">
        <v>0</v>
      </c>
      <c r="N29" s="16">
        <v>0</v>
      </c>
      <c r="O29" s="14">
        <v>0</v>
      </c>
      <c r="P29" s="16">
        <v>0</v>
      </c>
      <c r="Q29" s="14">
        <v>0</v>
      </c>
      <c r="R29" s="16">
        <v>0</v>
      </c>
      <c r="S29" s="14">
        <v>0</v>
      </c>
      <c r="T29" s="16">
        <v>0</v>
      </c>
    </row>
    <row r="30" spans="1:20" x14ac:dyDescent="0.25">
      <c r="A30" s="11" t="s">
        <v>163</v>
      </c>
      <c r="B30" s="13">
        <v>2257</v>
      </c>
      <c r="C30" s="14">
        <f>(1899/B30*100)</f>
        <v>84.138236597252984</v>
      </c>
      <c r="D30" s="15">
        <v>358</v>
      </c>
      <c r="E30" s="14">
        <v>83.264466429999999</v>
      </c>
      <c r="F30" s="16">
        <v>1.8517100799999999</v>
      </c>
      <c r="G30" s="14">
        <v>7.8782846800000002</v>
      </c>
      <c r="H30" s="16">
        <v>1.41643735</v>
      </c>
      <c r="I30" s="14">
        <v>8.8572488899999993</v>
      </c>
      <c r="J30" s="16">
        <v>1.1571087200000001</v>
      </c>
      <c r="K30" s="14" t="s">
        <v>139</v>
      </c>
      <c r="L30" s="16" t="s">
        <v>139</v>
      </c>
      <c r="M30" s="14">
        <v>0</v>
      </c>
      <c r="N30" s="16">
        <v>0</v>
      </c>
      <c r="O30" s="14">
        <v>0</v>
      </c>
      <c r="P30" s="16">
        <v>0</v>
      </c>
      <c r="Q30" s="14">
        <v>0</v>
      </c>
      <c r="R30" s="16">
        <v>0</v>
      </c>
      <c r="S30" s="14">
        <v>0</v>
      </c>
      <c r="T30" s="16">
        <v>0</v>
      </c>
    </row>
    <row r="31" spans="1:20" x14ac:dyDescent="0.25">
      <c r="A31" s="11" t="s">
        <v>164</v>
      </c>
      <c r="B31" s="13">
        <v>2706</v>
      </c>
      <c r="C31" s="14">
        <f>(2245/B31*100)</f>
        <v>82.963784183296369</v>
      </c>
      <c r="D31" s="15">
        <v>461</v>
      </c>
      <c r="E31" s="14">
        <v>88.789065539999996</v>
      </c>
      <c r="F31" s="16">
        <v>1.6296625600000001</v>
      </c>
      <c r="G31" s="14">
        <v>2.2885818699999998</v>
      </c>
      <c r="H31" s="16">
        <v>0.78662423000000004</v>
      </c>
      <c r="I31" s="14">
        <v>8.9223526</v>
      </c>
      <c r="J31" s="16">
        <v>1.3904331400000001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(3042/B33*100)</f>
        <v>83.319638455217742</v>
      </c>
      <c r="D33" s="15">
        <v>609</v>
      </c>
      <c r="E33" s="14">
        <v>90.395390649999996</v>
      </c>
      <c r="F33" s="16">
        <v>1.5583998999999999</v>
      </c>
      <c r="G33" s="14">
        <v>5.0442414099999997</v>
      </c>
      <c r="H33" s="16">
        <v>1.09165431</v>
      </c>
      <c r="I33" s="14">
        <v>4.5603679399999999</v>
      </c>
      <c r="J33" s="16">
        <v>1.2132077999999999</v>
      </c>
      <c r="K33" s="14" t="s">
        <v>139</v>
      </c>
      <c r="L33" s="16" t="s">
        <v>139</v>
      </c>
      <c r="M33" s="14">
        <v>0</v>
      </c>
      <c r="N33" s="16">
        <v>0</v>
      </c>
      <c r="O33" s="14">
        <v>0</v>
      </c>
      <c r="P33" s="16">
        <v>0</v>
      </c>
      <c r="Q33" s="14">
        <v>0</v>
      </c>
      <c r="R33" s="16">
        <v>0</v>
      </c>
      <c r="S33" s="14">
        <v>0</v>
      </c>
      <c r="T33" s="16">
        <v>0</v>
      </c>
    </row>
    <row r="34" spans="1:20" x14ac:dyDescent="0.25">
      <c r="A34" s="11" t="s">
        <v>167</v>
      </c>
      <c r="B34" s="13">
        <v>3035</v>
      </c>
      <c r="C34" s="14">
        <f>(2538/B34*100)</f>
        <v>83.62438220757825</v>
      </c>
      <c r="D34" s="15">
        <v>497</v>
      </c>
      <c r="E34" s="14">
        <v>88.224372349999996</v>
      </c>
      <c r="F34" s="16">
        <v>1.30748815</v>
      </c>
      <c r="G34" s="14">
        <v>6.3551392499999997</v>
      </c>
      <c r="H34" s="16">
        <v>0.90519428999999996</v>
      </c>
      <c r="I34" s="14">
        <v>5.4204884</v>
      </c>
      <c r="J34" s="16">
        <v>0.91883576</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(2422/B35*100)</f>
        <v>83.488452257842127</v>
      </c>
      <c r="D35" s="15">
        <v>479</v>
      </c>
      <c r="E35" s="14">
        <v>86.198725449999998</v>
      </c>
      <c r="F35" s="16">
        <v>1.87254568</v>
      </c>
      <c r="G35" s="14">
        <v>5.3118445300000001</v>
      </c>
      <c r="H35" s="16">
        <v>1.4148447500000001</v>
      </c>
      <c r="I35" s="14">
        <v>8.4894300200000004</v>
      </c>
      <c r="J35" s="16">
        <v>1.5120156199999999</v>
      </c>
      <c r="K35" s="14" t="s">
        <v>139</v>
      </c>
      <c r="L35" s="16" t="s">
        <v>139</v>
      </c>
      <c r="M35" s="14">
        <v>0</v>
      </c>
      <c r="N35" s="16">
        <v>0</v>
      </c>
      <c r="O35" s="14">
        <v>0</v>
      </c>
      <c r="P35" s="16">
        <v>0</v>
      </c>
      <c r="Q35" s="14">
        <v>0</v>
      </c>
      <c r="R35" s="16">
        <v>0</v>
      </c>
      <c r="S35" s="14">
        <v>0</v>
      </c>
      <c r="T35" s="16">
        <v>0</v>
      </c>
    </row>
    <row r="36" spans="1:20" x14ac:dyDescent="0.25">
      <c r="A36" s="11" t="s">
        <v>169</v>
      </c>
      <c r="B36" s="13">
        <v>3404</v>
      </c>
      <c r="C36" s="14">
        <f>(2833/B36*100)</f>
        <v>83.225616921269093</v>
      </c>
      <c r="D36" s="15">
        <v>571</v>
      </c>
      <c r="E36" s="14">
        <v>88.970651290000006</v>
      </c>
      <c r="F36" s="16">
        <v>1.34207893</v>
      </c>
      <c r="G36" s="14">
        <v>6.3492703300000004</v>
      </c>
      <c r="H36" s="16">
        <v>1.02766033</v>
      </c>
      <c r="I36" s="14">
        <v>4.6800783800000003</v>
      </c>
      <c r="J36" s="16">
        <v>0.81733648000000003</v>
      </c>
      <c r="K36" s="14" t="s">
        <v>139</v>
      </c>
      <c r="L36" s="16" t="s">
        <v>139</v>
      </c>
      <c r="M36" s="14">
        <v>0</v>
      </c>
      <c r="N36" s="16">
        <v>0</v>
      </c>
      <c r="O36" s="14">
        <v>0</v>
      </c>
      <c r="P36" s="16">
        <v>0</v>
      </c>
      <c r="Q36" s="14">
        <v>0</v>
      </c>
      <c r="R36" s="16">
        <v>0</v>
      </c>
      <c r="S36" s="14">
        <v>0</v>
      </c>
      <c r="T36" s="16">
        <v>0</v>
      </c>
    </row>
    <row r="37" spans="1:20" x14ac:dyDescent="0.25">
      <c r="A37" s="11" t="s">
        <v>170</v>
      </c>
      <c r="B37" s="13">
        <v>2731</v>
      </c>
      <c r="C37" s="14">
        <f>(2268/B37*100)</f>
        <v>83.046503112413035</v>
      </c>
      <c r="D37" s="15">
        <v>463</v>
      </c>
      <c r="E37" s="14">
        <v>90.141641530000001</v>
      </c>
      <c r="F37" s="16">
        <v>1.40989125</v>
      </c>
      <c r="G37" s="14">
        <v>3.6964068999999999</v>
      </c>
      <c r="H37" s="16">
        <v>0.83063288999999996</v>
      </c>
      <c r="I37" s="14">
        <v>6.1619515800000002</v>
      </c>
      <c r="J37" s="16">
        <v>1.15050092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(2414/B39*100)</f>
        <v>82.164737916950301</v>
      </c>
      <c r="D39" s="15">
        <v>524</v>
      </c>
      <c r="E39" s="14">
        <v>87.740297729999995</v>
      </c>
      <c r="F39" s="16">
        <v>1.5023478299999999</v>
      </c>
      <c r="G39" s="14">
        <v>7.5116111400000003</v>
      </c>
      <c r="H39" s="16">
        <v>1.1816382599999999</v>
      </c>
      <c r="I39" s="14">
        <v>4.7480911299999997</v>
      </c>
      <c r="J39" s="16">
        <v>0.89134643000000002</v>
      </c>
      <c r="K39" s="14" t="s">
        <v>139</v>
      </c>
      <c r="L39" s="16" t="s">
        <v>139</v>
      </c>
      <c r="M39" s="14">
        <v>0</v>
      </c>
      <c r="N39" s="16">
        <v>0</v>
      </c>
      <c r="O39" s="14">
        <v>0</v>
      </c>
      <c r="P39" s="16">
        <v>0</v>
      </c>
      <c r="Q39" s="14">
        <v>0</v>
      </c>
      <c r="R39" s="16">
        <v>0</v>
      </c>
      <c r="S39" s="14">
        <v>0</v>
      </c>
      <c r="T39" s="16">
        <v>0</v>
      </c>
    </row>
    <row r="40" spans="1:20" x14ac:dyDescent="0.25">
      <c r="A40" s="11" t="s">
        <v>173</v>
      </c>
      <c r="B40" s="13">
        <v>6922</v>
      </c>
      <c r="C40" s="14">
        <f>(5733/B40*100)</f>
        <v>82.822883559664845</v>
      </c>
      <c r="D40" s="15">
        <v>1189</v>
      </c>
      <c r="E40" s="14">
        <v>85.320131770000003</v>
      </c>
      <c r="F40" s="16">
        <v>1.74725329</v>
      </c>
      <c r="G40" s="14">
        <v>6.1581947799999996</v>
      </c>
      <c r="H40" s="16">
        <v>1.0696277999999999</v>
      </c>
      <c r="I40" s="14">
        <v>8.5216734499999998</v>
      </c>
      <c r="J40" s="16">
        <v>1.4530154500000001</v>
      </c>
      <c r="K40" s="14" t="s">
        <v>139</v>
      </c>
      <c r="L40" s="16" t="s">
        <v>139</v>
      </c>
      <c r="M40" s="14">
        <v>0</v>
      </c>
      <c r="N40" s="16">
        <v>0</v>
      </c>
      <c r="O40" s="14">
        <v>0</v>
      </c>
      <c r="P40" s="16">
        <v>0</v>
      </c>
      <c r="Q40" s="14">
        <v>0</v>
      </c>
      <c r="R40" s="16">
        <v>0</v>
      </c>
      <c r="S40" s="14">
        <v>0</v>
      </c>
      <c r="T40" s="16">
        <v>0</v>
      </c>
    </row>
    <row r="41" spans="1:20" x14ac:dyDescent="0.25">
      <c r="A41" s="11" t="s">
        <v>174</v>
      </c>
      <c r="B41" s="13">
        <v>2854</v>
      </c>
      <c r="C41" s="14">
        <f>(2350/B41*100)</f>
        <v>82.340574632095311</v>
      </c>
      <c r="D41" s="15">
        <v>504</v>
      </c>
      <c r="E41" s="14">
        <v>89.627971689999995</v>
      </c>
      <c r="F41" s="16">
        <v>1.38648075</v>
      </c>
      <c r="G41" s="14">
        <v>5.50173209</v>
      </c>
      <c r="H41" s="16">
        <v>1.10046355</v>
      </c>
      <c r="I41" s="14">
        <v>4.8702962200000002</v>
      </c>
      <c r="J41" s="16">
        <v>0.91748494999999997</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83.004258294965311</v>
      </c>
      <c r="D42" s="15">
        <f>IF(COUNT(D7:D41) &gt; 0, AVERAGE(D7:D41), "—")</f>
        <v>613.84375</v>
      </c>
      <c r="E42" s="14">
        <f>IF(COUNT(E7:E41) &gt; 0, AVERAGE(E7:E41), "—")</f>
        <v>88.719611181874996</v>
      </c>
      <c r="F42" s="16">
        <f>IF(COUNT(F7:F41) &gt; 0, SQRT(SUMSQ(F7:F41)/(COUNT(F7:F41)*COUNT(F7:F41)) ), "—")</f>
        <v>0.26253283913599973</v>
      </c>
      <c r="G42" s="14">
        <f>IF(COUNT(G7:G41) &gt; 0, AVERAGE(G7:G41), "—")</f>
        <v>4.6734440109374997</v>
      </c>
      <c r="H42" s="16">
        <f>IF(COUNT(H7:H41) &gt; 0, SQRT(SUMSQ(H7:H41)/(COUNT(H7:H41)*COUNT(H7:H41)) ), "—")</f>
        <v>0.17534238936384877</v>
      </c>
      <c r="I42" s="14">
        <f>IF(COUNT(I7:I41) &gt; 0, AVERAGE(I7:I41), "—")</f>
        <v>6.6069448081250002</v>
      </c>
      <c r="J42" s="16">
        <f>IF(COUNT(J7:J41) &gt; 0, SQRT(SUMSQ(J7:J41)/(COUNT(J7:J41)*COUNT(J7:J41)) ), "—")</f>
        <v>0.19989402521498242</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(10357/B46*100)</f>
        <v>85.786465667191266</v>
      </c>
      <c r="D46" s="15">
        <v>1716</v>
      </c>
      <c r="E46" s="14">
        <v>87.117201480000006</v>
      </c>
      <c r="F46" s="16">
        <v>1.02012283</v>
      </c>
      <c r="G46" s="14">
        <v>8.6468119899999998</v>
      </c>
      <c r="H46" s="16">
        <v>1.0523746899999999</v>
      </c>
      <c r="I46" s="14">
        <v>4.23598652</v>
      </c>
      <c r="J46" s="16">
        <v>0.61605655000000004</v>
      </c>
      <c r="K46" s="14" t="s">
        <v>139</v>
      </c>
      <c r="L46" s="16" t="s">
        <v>139</v>
      </c>
      <c r="M46" s="14">
        <v>0</v>
      </c>
      <c r="N46" s="16">
        <v>0</v>
      </c>
      <c r="O46" s="14">
        <v>0</v>
      </c>
      <c r="P46" s="16">
        <v>0</v>
      </c>
      <c r="Q46" s="14">
        <v>0</v>
      </c>
      <c r="R46" s="16">
        <v>0</v>
      </c>
      <c r="S46" s="14">
        <v>0</v>
      </c>
      <c r="T46" s="16">
        <v>0</v>
      </c>
    </row>
    <row r="47" spans="1:20" x14ac:dyDescent="0.25">
      <c r="A47" s="11" t="s">
        <v>180</v>
      </c>
      <c r="B47" s="13">
        <v>2823</v>
      </c>
      <c r="C47" s="14">
        <f>(2337/B47*100)</f>
        <v>82.784272051009566</v>
      </c>
      <c r="D47" s="15">
        <v>486</v>
      </c>
      <c r="E47" s="14">
        <v>88.835890629999994</v>
      </c>
      <c r="F47" s="16">
        <v>1.37781632</v>
      </c>
      <c r="G47" s="14">
        <v>7.3399092000000001</v>
      </c>
      <c r="H47" s="16">
        <v>1.14849599</v>
      </c>
      <c r="I47" s="14">
        <v>3.8242001700000001</v>
      </c>
      <c r="J47" s="16">
        <v>0.92756850999999996</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(3884/B48*100)</f>
        <v>82.956001708671508</v>
      </c>
      <c r="D48" s="15">
        <v>798</v>
      </c>
      <c r="E48" s="14">
        <v>86.679317830000002</v>
      </c>
      <c r="F48" s="16">
        <v>1.52823219</v>
      </c>
      <c r="G48" s="14">
        <v>8.5679925800000003</v>
      </c>
      <c r="H48" s="16">
        <v>1.2942539900000001</v>
      </c>
      <c r="I48" s="14">
        <v>4.7526895800000002</v>
      </c>
      <c r="J48" s="16">
        <v>0.91861780000000004</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(5148/B50*100)</f>
        <v>83.598570964598892</v>
      </c>
      <c r="D50" s="15">
        <v>1010</v>
      </c>
      <c r="E50" s="14">
        <v>88.579165689999996</v>
      </c>
      <c r="F50" s="16">
        <v>1.2475098899999999</v>
      </c>
      <c r="G50" s="14">
        <v>5.8524996600000003</v>
      </c>
      <c r="H50" s="16">
        <v>0.91687253999999996</v>
      </c>
      <c r="I50" s="14">
        <v>5.5683346499999997</v>
      </c>
      <c r="J50" s="16">
        <v>0.98851553999999997</v>
      </c>
      <c r="K50" s="14" t="s">
        <v>139</v>
      </c>
      <c r="L50" s="16" t="s">
        <v>139</v>
      </c>
      <c r="M50" s="14">
        <v>0</v>
      </c>
      <c r="N50" s="16">
        <v>0</v>
      </c>
      <c r="O50" s="14">
        <v>0</v>
      </c>
      <c r="P50" s="16">
        <v>0</v>
      </c>
      <c r="Q50" s="14">
        <v>0</v>
      </c>
      <c r="R50" s="16">
        <v>0</v>
      </c>
      <c r="S50" s="14">
        <v>0</v>
      </c>
      <c r="T50" s="16">
        <v>0</v>
      </c>
    </row>
    <row r="51" spans="1:20" x14ac:dyDescent="0.25">
      <c r="A51" s="11" t="s">
        <v>184</v>
      </c>
      <c r="B51" s="13">
        <v>3494</v>
      </c>
      <c r="C51" s="14">
        <f>(2986/B51*100)</f>
        <v>85.460789925586724</v>
      </c>
      <c r="D51" s="15">
        <v>508</v>
      </c>
      <c r="E51" s="14">
        <v>90.468558250000001</v>
      </c>
      <c r="F51" s="16">
        <v>1.3818543400000001</v>
      </c>
      <c r="G51" s="14">
        <v>6.0527499300000001</v>
      </c>
      <c r="H51" s="16">
        <v>1.1200230499999999</v>
      </c>
      <c r="I51" s="14">
        <v>3.4786918199999999</v>
      </c>
      <c r="J51" s="16">
        <v>0.91859966000000004</v>
      </c>
      <c r="K51" s="14" t="s">
        <v>139</v>
      </c>
      <c r="L51" s="16" t="s">
        <v>139</v>
      </c>
      <c r="M51" s="14">
        <v>0</v>
      </c>
      <c r="N51" s="16">
        <v>0</v>
      </c>
      <c r="O51" s="14">
        <v>0</v>
      </c>
      <c r="P51" s="16">
        <v>0</v>
      </c>
      <c r="Q51" s="14">
        <v>0</v>
      </c>
      <c r="R51" s="16">
        <v>0</v>
      </c>
      <c r="S51" s="14">
        <v>0</v>
      </c>
      <c r="T51" s="16">
        <v>0</v>
      </c>
    </row>
    <row r="52" spans="1:20" x14ac:dyDescent="0.25">
      <c r="A52" s="11" t="s">
        <v>185</v>
      </c>
      <c r="B52" s="13">
        <v>3013</v>
      </c>
      <c r="C52" s="14">
        <f>(2495/B52*100)</f>
        <v>82.80783272485894</v>
      </c>
      <c r="D52" s="15">
        <v>518</v>
      </c>
      <c r="E52" s="14">
        <v>90.498896970000004</v>
      </c>
      <c r="F52" s="16">
        <v>1.18808779</v>
      </c>
      <c r="G52" s="14">
        <v>3.9808315200000002</v>
      </c>
      <c r="H52" s="16">
        <v>0.91127855000000002</v>
      </c>
      <c r="I52" s="14">
        <v>5.5202714999999998</v>
      </c>
      <c r="J52" s="16">
        <v>0.88757220000000003</v>
      </c>
      <c r="K52" s="14" t="s">
        <v>139</v>
      </c>
      <c r="L52" s="16" t="s">
        <v>139</v>
      </c>
      <c r="M52" s="14">
        <v>0</v>
      </c>
      <c r="N52" s="16">
        <v>0</v>
      </c>
      <c r="O52" s="14">
        <v>0</v>
      </c>
      <c r="P52" s="16">
        <v>0</v>
      </c>
      <c r="Q52" s="14">
        <v>0</v>
      </c>
      <c r="R52" s="16">
        <v>0</v>
      </c>
      <c r="S52" s="14">
        <v>0</v>
      </c>
      <c r="T52" s="16">
        <v>0</v>
      </c>
    </row>
    <row r="53" spans="1:20" x14ac:dyDescent="0.25">
      <c r="A53" s="11" t="s">
        <v>186</v>
      </c>
      <c r="B53" s="13">
        <v>2760</v>
      </c>
      <c r="C53" s="14">
        <f>(2306/B53*100)</f>
        <v>83.550724637681157</v>
      </c>
      <c r="D53" s="15">
        <v>454</v>
      </c>
      <c r="E53" s="14">
        <v>85.018050560000006</v>
      </c>
      <c r="F53" s="16">
        <v>1.7165472100000001</v>
      </c>
      <c r="G53" s="14">
        <v>9.3442817700000003</v>
      </c>
      <c r="H53" s="16">
        <v>1.4003013499999999</v>
      </c>
      <c r="I53" s="14">
        <v>5.6376676699999999</v>
      </c>
      <c r="J53" s="16">
        <v>1.13067172</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(2207/B56*100)</f>
        <v>82.504672897196258</v>
      </c>
      <c r="D56" s="15">
        <v>468</v>
      </c>
      <c r="E56" s="14">
        <v>89.052721129999995</v>
      </c>
      <c r="F56" s="16">
        <v>1.68315741</v>
      </c>
      <c r="G56" s="14">
        <v>4.8672787199999998</v>
      </c>
      <c r="H56" s="16">
        <v>1.01038055</v>
      </c>
      <c r="I56" s="14">
        <v>6.08000016</v>
      </c>
      <c r="J56" s="16">
        <v>1.3284943899999999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(2646/B61*100)</f>
        <v>82.661668228678536</v>
      </c>
      <c r="D61" s="15">
        <v>555</v>
      </c>
      <c r="E61" s="14">
        <v>91.639082590000001</v>
      </c>
      <c r="F61" s="16">
        <v>1.24587541</v>
      </c>
      <c r="G61" s="14">
        <v>3.25297817</v>
      </c>
      <c r="H61" s="16">
        <v>0.76304470000000002</v>
      </c>
      <c r="I61" s="14">
        <v>5.1079392300000004</v>
      </c>
      <c r="J61" s="16">
        <v>0.98065919999999995</v>
      </c>
      <c r="K61" s="14" t="s">
        <v>139</v>
      </c>
      <c r="L61" s="16" t="s">
        <v>139</v>
      </c>
      <c r="M61" s="14">
        <v>0</v>
      </c>
      <c r="N61" s="16">
        <v>0</v>
      </c>
      <c r="O61" s="14">
        <v>0</v>
      </c>
      <c r="P61" s="16">
        <v>0</v>
      </c>
      <c r="Q61" s="14">
        <v>0</v>
      </c>
      <c r="R61" s="16">
        <v>0</v>
      </c>
      <c r="S61" s="14">
        <v>0</v>
      </c>
      <c r="T61" s="16">
        <v>0</v>
      </c>
    </row>
    <row r="62" spans="1:20" x14ac:dyDescent="0.25">
      <c r="A62" s="11" t="s">
        <v>195</v>
      </c>
      <c r="B62" s="13">
        <v>2230</v>
      </c>
      <c r="C62" s="14">
        <f>(1858/B62*100)</f>
        <v>83.318385650224215</v>
      </c>
      <c r="D62" s="15">
        <v>372</v>
      </c>
      <c r="E62" s="14">
        <v>87.85952503</v>
      </c>
      <c r="F62" s="16">
        <v>1.67241431</v>
      </c>
      <c r="G62" s="14">
        <v>5.1342033899999997</v>
      </c>
      <c r="H62" s="16">
        <v>1.1704390200000001</v>
      </c>
      <c r="I62" s="14">
        <v>7.0062715899999999</v>
      </c>
      <c r="J62" s="16">
        <v>1.2694279100000001</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(2291/B66*100)</f>
        <v>82.677733670155177</v>
      </c>
      <c r="D66" s="15">
        <v>480</v>
      </c>
      <c r="E66" s="14">
        <v>92.893031899999997</v>
      </c>
      <c r="F66" s="16">
        <v>1.1033036199999999</v>
      </c>
      <c r="G66" s="14">
        <v>5.0846091199999996</v>
      </c>
      <c r="H66" s="16">
        <v>1.0087036</v>
      </c>
      <c r="I66" s="14">
        <v>2.0223589799999999</v>
      </c>
      <c r="J66" s="16">
        <v>0.65546729000000004</v>
      </c>
      <c r="K66" s="14" t="s">
        <v>139</v>
      </c>
      <c r="L66" s="16" t="s">
        <v>139</v>
      </c>
      <c r="M66" s="14">
        <v>0</v>
      </c>
      <c r="N66" s="16">
        <v>0</v>
      </c>
      <c r="O66" s="14">
        <v>0</v>
      </c>
      <c r="P66" s="16">
        <v>0</v>
      </c>
      <c r="Q66" s="14">
        <v>0</v>
      </c>
      <c r="R66" s="16">
        <v>0</v>
      </c>
      <c r="S66" s="14">
        <v>0</v>
      </c>
      <c r="T66" s="16">
        <v>0</v>
      </c>
    </row>
    <row r="67" spans="1:20" x14ac:dyDescent="0.25">
      <c r="A67" s="11" t="s">
        <v>200</v>
      </c>
      <c r="B67" s="13">
        <v>3460</v>
      </c>
      <c r="C67" s="14">
        <f>(2946/B67*100)</f>
        <v>85.144508670520239</v>
      </c>
      <c r="D67" s="15">
        <v>514</v>
      </c>
      <c r="E67" s="14">
        <v>86.250335089999993</v>
      </c>
      <c r="F67" s="16">
        <v>1.5563152600000001</v>
      </c>
      <c r="G67" s="14">
        <v>8.8148408499999995</v>
      </c>
      <c r="H67" s="16">
        <v>1.32813643</v>
      </c>
      <c r="I67" s="14">
        <v>4.9348240600000004</v>
      </c>
      <c r="J67" s="16">
        <v>1.27825689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(2569/B70*100)</f>
        <v>82.684261345349213</v>
      </c>
      <c r="D70" s="15">
        <v>538</v>
      </c>
      <c r="E70" s="14">
        <v>92.628574639999997</v>
      </c>
      <c r="F70" s="16">
        <v>1.3220169399999999</v>
      </c>
      <c r="G70" s="14">
        <v>3.1385613600000002</v>
      </c>
      <c r="H70" s="16">
        <v>0.90153742000000003</v>
      </c>
      <c r="I70" s="14">
        <v>4.2328640000000002</v>
      </c>
      <c r="J70" s="16">
        <v>0.82186594000000002</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(3157/B72*100)</f>
        <v>82.665619272060752</v>
      </c>
      <c r="D72" s="15">
        <v>662</v>
      </c>
      <c r="E72" s="14">
        <v>91.704147059999997</v>
      </c>
      <c r="F72" s="16">
        <v>1.06471267</v>
      </c>
      <c r="G72" s="14">
        <v>3.8709385900000002</v>
      </c>
      <c r="H72" s="16">
        <v>0.73969943000000005</v>
      </c>
      <c r="I72" s="14">
        <v>4.4249143499999999</v>
      </c>
      <c r="J72" s="16">
        <v>0.73864675999999996</v>
      </c>
      <c r="K72" s="14" t="s">
        <v>139</v>
      </c>
      <c r="L72" s="16" t="s">
        <v>139</v>
      </c>
      <c r="M72" s="14">
        <v>0</v>
      </c>
      <c r="N72" s="16">
        <v>0</v>
      </c>
      <c r="O72" s="14">
        <v>0</v>
      </c>
      <c r="P72" s="16">
        <v>0</v>
      </c>
      <c r="Q72" s="14">
        <v>0</v>
      </c>
      <c r="R72" s="16">
        <v>0</v>
      </c>
      <c r="S72" s="14">
        <v>0</v>
      </c>
      <c r="T72" s="16">
        <v>0</v>
      </c>
    </row>
    <row r="73" spans="1:20" x14ac:dyDescent="0.25">
      <c r="A73" s="11" t="s">
        <v>206</v>
      </c>
      <c r="B73" s="13">
        <v>4652</v>
      </c>
      <c r="C73" s="14">
        <f>(3903/B73*100)</f>
        <v>83.899398108340492</v>
      </c>
      <c r="D73" s="15">
        <v>749</v>
      </c>
      <c r="E73" s="14">
        <v>79.863205710000003</v>
      </c>
      <c r="F73" s="16">
        <v>1.9956255199999999</v>
      </c>
      <c r="G73" s="14">
        <v>12.87230772</v>
      </c>
      <c r="H73" s="16">
        <v>1.6621886100000001</v>
      </c>
      <c r="I73" s="14">
        <v>7.2644865599999999</v>
      </c>
      <c r="J73" s="16">
        <v>1.1024324000000001</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(2508/B75*100)</f>
        <v>84.472886493768954</v>
      </c>
      <c r="D75" s="15">
        <v>461</v>
      </c>
      <c r="E75" s="14">
        <v>86.690363939999997</v>
      </c>
      <c r="F75" s="16">
        <v>1.6682242</v>
      </c>
      <c r="G75" s="14">
        <v>9.0217375700000009</v>
      </c>
      <c r="H75" s="16">
        <v>1.519145</v>
      </c>
      <c r="I75" s="14">
        <v>4.2878984999999998</v>
      </c>
      <c r="J75" s="16">
        <v>0.74278007999999995</v>
      </c>
      <c r="K75" s="14" t="s">
        <v>139</v>
      </c>
      <c r="L75" s="16" t="s">
        <v>139</v>
      </c>
      <c r="M75" s="14">
        <v>0</v>
      </c>
      <c r="N75" s="16">
        <v>0</v>
      </c>
      <c r="O75" s="14">
        <v>0</v>
      </c>
      <c r="P75" s="16">
        <v>0</v>
      </c>
      <c r="Q75" s="14">
        <v>0</v>
      </c>
      <c r="R75" s="16">
        <v>0</v>
      </c>
      <c r="S75" s="14">
        <v>0</v>
      </c>
      <c r="T75" s="16">
        <v>0</v>
      </c>
    </row>
    <row r="76" spans="1:20" x14ac:dyDescent="0.25">
      <c r="A76" s="11" t="s">
        <v>209</v>
      </c>
      <c r="B76" s="13">
        <v>7115</v>
      </c>
      <c r="C76" s="14">
        <f>(5907/B76*100)</f>
        <v>83.021784961349269</v>
      </c>
      <c r="D76" s="15">
        <v>1208</v>
      </c>
      <c r="E76" s="14">
        <v>88.764836209999999</v>
      </c>
      <c r="F76" s="16">
        <v>0.98073136000000005</v>
      </c>
      <c r="G76" s="14">
        <v>7.2253461400000001</v>
      </c>
      <c r="H76" s="16">
        <v>0.69591161000000001</v>
      </c>
      <c r="I76" s="14">
        <v>4.0098176499999996</v>
      </c>
      <c r="J76" s="16">
        <v>0.55184723999999996</v>
      </c>
      <c r="K76" s="14" t="s">
        <v>139</v>
      </c>
      <c r="L76" s="16" t="s">
        <v>139</v>
      </c>
      <c r="M76" s="14">
        <v>0</v>
      </c>
      <c r="N76" s="16">
        <v>0</v>
      </c>
      <c r="O76" s="14">
        <v>0</v>
      </c>
      <c r="P76" s="16">
        <v>0</v>
      </c>
      <c r="Q76" s="14">
        <v>0</v>
      </c>
      <c r="R76" s="16">
        <v>0</v>
      </c>
      <c r="S76" s="14">
        <v>0</v>
      </c>
      <c r="T76" s="16">
        <v>0</v>
      </c>
    </row>
    <row r="77" spans="1:20" x14ac:dyDescent="0.25">
      <c r="A77" s="11" t="s">
        <v>210</v>
      </c>
      <c r="B77" s="13">
        <v>3154</v>
      </c>
      <c r="C77" s="14">
        <f>(2619/B77*100)</f>
        <v>83.037412809131268</v>
      </c>
      <c r="D77" s="15">
        <v>535</v>
      </c>
      <c r="E77" s="14">
        <v>88.265867380000003</v>
      </c>
      <c r="F77" s="16">
        <v>1.3099207900000001</v>
      </c>
      <c r="G77" s="14">
        <v>6.18607481</v>
      </c>
      <c r="H77" s="16">
        <v>1.05163991</v>
      </c>
      <c r="I77" s="14">
        <v>5.5480578100000004</v>
      </c>
      <c r="J77" s="16">
        <v>0.96948160999999999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(3893/B81*100)</f>
        <v>82.865048957002983</v>
      </c>
      <c r="D81" s="15">
        <v>805</v>
      </c>
      <c r="E81" s="14">
        <v>87.146540189999996</v>
      </c>
      <c r="F81" s="16">
        <v>1.50129511</v>
      </c>
      <c r="G81" s="14">
        <v>6.6044144899999999</v>
      </c>
      <c r="H81" s="16">
        <v>1.1830027599999999</v>
      </c>
      <c r="I81" s="14">
        <v>6.2490453199999996</v>
      </c>
      <c r="J81" s="16">
        <v>1.1566362400000001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335</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(5948/B7*100)</f>
        <v>83.037833310065608</v>
      </c>
      <c r="D7" s="15">
        <v>1215</v>
      </c>
      <c r="E7" s="14">
        <v>24.981106310000001</v>
      </c>
      <c r="F7" s="16">
        <v>1.57363045</v>
      </c>
      <c r="G7" s="14">
        <v>7.6899181499999996</v>
      </c>
      <c r="H7" s="16">
        <v>0.92534981999999999</v>
      </c>
      <c r="I7" s="14">
        <v>67.328975540000002</v>
      </c>
      <c r="J7" s="16">
        <v>1.44555429</v>
      </c>
      <c r="K7" s="14" t="s">
        <v>139</v>
      </c>
      <c r="L7" s="16" t="s">
        <v>139</v>
      </c>
      <c r="M7" s="14">
        <v>0</v>
      </c>
      <c r="N7" s="16">
        <v>0</v>
      </c>
      <c r="O7" s="14">
        <v>0</v>
      </c>
      <c r="P7" s="16">
        <v>0</v>
      </c>
      <c r="Q7" s="14">
        <v>0</v>
      </c>
      <c r="R7" s="16">
        <v>0</v>
      </c>
      <c r="S7" s="14">
        <v>0</v>
      </c>
      <c r="T7" s="16">
        <v>0</v>
      </c>
    </row>
    <row r="8" spans="1:20" x14ac:dyDescent="0.25">
      <c r="A8" s="11" t="s">
        <v>140</v>
      </c>
      <c r="B8" s="13">
        <v>3443</v>
      </c>
      <c r="C8" s="14">
        <f>(2835/B8*100)</f>
        <v>82.340981702004072</v>
      </c>
      <c r="D8" s="15">
        <v>608</v>
      </c>
      <c r="E8" s="14">
        <v>41.468566369999998</v>
      </c>
      <c r="F8" s="16">
        <v>2.0173362099999999</v>
      </c>
      <c r="G8" s="14">
        <v>15.176321</v>
      </c>
      <c r="H8" s="16">
        <v>1.6853018900000001</v>
      </c>
      <c r="I8" s="14">
        <v>43.355112630000001</v>
      </c>
      <c r="J8" s="16">
        <v>2.2045246399999998</v>
      </c>
      <c r="K8" s="14" t="s">
        <v>139</v>
      </c>
      <c r="L8" s="16" t="s">
        <v>139</v>
      </c>
      <c r="M8" s="14">
        <v>0</v>
      </c>
      <c r="N8" s="16">
        <v>0</v>
      </c>
      <c r="O8" s="14">
        <v>0</v>
      </c>
      <c r="P8" s="16">
        <v>0</v>
      </c>
      <c r="Q8" s="14">
        <v>0</v>
      </c>
      <c r="R8" s="16">
        <v>0</v>
      </c>
      <c r="S8" s="14">
        <v>0</v>
      </c>
      <c r="T8" s="16">
        <v>0</v>
      </c>
    </row>
    <row r="9" spans="1:20" x14ac:dyDescent="0.25">
      <c r="A9" s="11" t="s">
        <v>141</v>
      </c>
      <c r="B9" s="13">
        <v>4752</v>
      </c>
      <c r="C9" s="14">
        <f>(3984/B9*100)</f>
        <v>83.838383838383834</v>
      </c>
      <c r="D9" s="15">
        <v>768</v>
      </c>
      <c r="E9" s="14">
        <v>44.731924509999999</v>
      </c>
      <c r="F9" s="16">
        <v>1.85105432</v>
      </c>
      <c r="G9" s="14">
        <v>17.329235220000001</v>
      </c>
      <c r="H9" s="16">
        <v>1.3841488</v>
      </c>
      <c r="I9" s="14">
        <v>37.938840259999999</v>
      </c>
      <c r="J9" s="16">
        <v>1.8902269199999999</v>
      </c>
      <c r="K9" s="14" t="s">
        <v>139</v>
      </c>
      <c r="L9" s="16" t="s">
        <v>139</v>
      </c>
      <c r="M9" s="14">
        <v>0</v>
      </c>
      <c r="N9" s="16">
        <v>0</v>
      </c>
      <c r="O9" s="14">
        <v>0</v>
      </c>
      <c r="P9" s="16">
        <v>0</v>
      </c>
      <c r="Q9" s="14">
        <v>0</v>
      </c>
      <c r="R9" s="16">
        <v>0</v>
      </c>
      <c r="S9" s="14">
        <v>0</v>
      </c>
      <c r="T9" s="16">
        <v>0</v>
      </c>
    </row>
    <row r="10" spans="1:20" x14ac:dyDescent="0.25">
      <c r="A10" s="11" t="s">
        <v>142</v>
      </c>
      <c r="B10" s="13">
        <v>10022</v>
      </c>
      <c r="C10" s="14">
        <f>(8323/B10*100)</f>
        <v>83.047295948912392</v>
      </c>
      <c r="D10" s="15">
        <v>1699</v>
      </c>
      <c r="E10" s="14">
        <v>26.735506959999999</v>
      </c>
      <c r="F10" s="16">
        <v>1.5145831199999999</v>
      </c>
      <c r="G10" s="14">
        <v>6.9689998700000002</v>
      </c>
      <c r="H10" s="16">
        <v>0.83816278</v>
      </c>
      <c r="I10" s="14">
        <v>66.29549317</v>
      </c>
      <c r="J10" s="16">
        <v>1.4880595700000001</v>
      </c>
      <c r="K10" s="14" t="s">
        <v>139</v>
      </c>
      <c r="L10" s="16" t="s">
        <v>139</v>
      </c>
      <c r="M10" s="14">
        <v>0</v>
      </c>
      <c r="N10" s="16">
        <v>0</v>
      </c>
      <c r="O10" s="14">
        <v>0</v>
      </c>
      <c r="P10" s="16">
        <v>0</v>
      </c>
      <c r="Q10" s="14">
        <v>0</v>
      </c>
      <c r="R10" s="16">
        <v>0</v>
      </c>
      <c r="S10" s="14">
        <v>0</v>
      </c>
      <c r="T10" s="16">
        <v>0</v>
      </c>
    </row>
    <row r="11" spans="1:20" x14ac:dyDescent="0.25">
      <c r="A11" s="11" t="s">
        <v>143</v>
      </c>
      <c r="B11" s="13">
        <v>3500</v>
      </c>
      <c r="C11" s="14">
        <f>(2915/B11*100)</f>
        <v>83.285714285714292</v>
      </c>
      <c r="D11" s="15">
        <v>585</v>
      </c>
      <c r="E11" s="14">
        <v>60.174389859999998</v>
      </c>
      <c r="F11" s="16">
        <v>2.5406475899999998</v>
      </c>
      <c r="G11" s="14">
        <v>14.443085959999999</v>
      </c>
      <c r="H11" s="16">
        <v>1.5592357400000001</v>
      </c>
      <c r="I11" s="14">
        <v>25.382524180000001</v>
      </c>
      <c r="J11" s="16">
        <v>2.05796913</v>
      </c>
      <c r="K11" s="14" t="s">
        <v>139</v>
      </c>
      <c r="L11" s="16" t="s">
        <v>139</v>
      </c>
      <c r="M11" s="14">
        <v>0</v>
      </c>
      <c r="N11" s="16">
        <v>0</v>
      </c>
      <c r="O11" s="14">
        <v>0</v>
      </c>
      <c r="P11" s="16">
        <v>0</v>
      </c>
      <c r="Q11" s="14">
        <v>0</v>
      </c>
      <c r="R11" s="16">
        <v>0</v>
      </c>
      <c r="S11" s="14">
        <v>0</v>
      </c>
      <c r="T11" s="16">
        <v>0</v>
      </c>
    </row>
    <row r="12" spans="1:20" x14ac:dyDescent="0.25">
      <c r="A12" s="11" t="s">
        <v>144</v>
      </c>
      <c r="B12" s="13">
        <v>3422</v>
      </c>
      <c r="C12" s="14">
        <f>(2874/B12*100)</f>
        <v>83.985973115137341</v>
      </c>
      <c r="D12" s="15">
        <v>548</v>
      </c>
      <c r="E12" s="14">
        <v>42.933428390000003</v>
      </c>
      <c r="F12" s="16">
        <v>2.2742309399999998</v>
      </c>
      <c r="G12" s="14">
        <v>19.711872190000001</v>
      </c>
      <c r="H12" s="16">
        <v>1.73320034</v>
      </c>
      <c r="I12" s="14">
        <v>37.354699410000002</v>
      </c>
      <c r="J12" s="16">
        <v>2.1220927500000002</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(3009/B13*100)</f>
        <v>83.53692393114936</v>
      </c>
      <c r="D13" s="15">
        <v>593</v>
      </c>
      <c r="E13" s="14">
        <v>22.466377829999999</v>
      </c>
      <c r="F13" s="16">
        <v>2.1503319300000001</v>
      </c>
      <c r="G13" s="14">
        <v>11.239283009999999</v>
      </c>
      <c r="H13" s="16">
        <v>1.4620390400000001</v>
      </c>
      <c r="I13" s="14">
        <v>66.294339160000007</v>
      </c>
      <c r="J13" s="16">
        <v>2.3118299100000002</v>
      </c>
      <c r="K13" s="14" t="s">
        <v>139</v>
      </c>
      <c r="L13" s="16" t="s">
        <v>139</v>
      </c>
      <c r="M13" s="14">
        <v>0</v>
      </c>
      <c r="N13" s="16">
        <v>0</v>
      </c>
      <c r="O13" s="14">
        <v>0</v>
      </c>
      <c r="P13" s="16">
        <v>0</v>
      </c>
      <c r="Q13" s="14">
        <v>0</v>
      </c>
      <c r="R13" s="16">
        <v>0</v>
      </c>
      <c r="S13" s="14">
        <v>0</v>
      </c>
      <c r="T13" s="16">
        <v>0</v>
      </c>
    </row>
    <row r="14" spans="1:20" x14ac:dyDescent="0.25">
      <c r="A14" s="11" t="s">
        <v>146</v>
      </c>
      <c r="B14" s="13">
        <v>2788</v>
      </c>
      <c r="C14" s="14">
        <f>(2309/B14*100)</f>
        <v>82.819225251076048</v>
      </c>
      <c r="D14" s="15">
        <v>479</v>
      </c>
      <c r="E14" s="14">
        <v>34.657182329999998</v>
      </c>
      <c r="F14" s="16">
        <v>2.2710386699999998</v>
      </c>
      <c r="G14" s="14">
        <v>14.358316930000001</v>
      </c>
      <c r="H14" s="16">
        <v>1.53877537</v>
      </c>
      <c r="I14" s="14">
        <v>50.984500740000001</v>
      </c>
      <c r="J14" s="16">
        <v>2.7024579000000002</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(2367/B15*100)</f>
        <v>82.675515193852604</v>
      </c>
      <c r="D15" s="15">
        <v>496</v>
      </c>
      <c r="E15" s="14">
        <v>12.73097578</v>
      </c>
      <c r="F15" s="16">
        <v>1.5789594600000001</v>
      </c>
      <c r="G15" s="14">
        <v>3.6028867199999999</v>
      </c>
      <c r="H15" s="16">
        <v>0.75797367000000004</v>
      </c>
      <c r="I15" s="14">
        <v>83.666137509999999</v>
      </c>
      <c r="J15" s="16">
        <v>1.70420566</v>
      </c>
      <c r="K15" s="14" t="s">
        <v>139</v>
      </c>
      <c r="L15" s="16" t="s">
        <v>139</v>
      </c>
      <c r="M15" s="14">
        <v>0</v>
      </c>
      <c r="N15" s="16">
        <v>0</v>
      </c>
      <c r="O15" s="14">
        <v>0</v>
      </c>
      <c r="P15" s="16">
        <v>0</v>
      </c>
      <c r="Q15" s="14">
        <v>0</v>
      </c>
      <c r="R15" s="16">
        <v>0</v>
      </c>
      <c r="S15" s="14">
        <v>0</v>
      </c>
      <c r="T15" s="16">
        <v>0</v>
      </c>
    </row>
    <row r="16" spans="1:20" x14ac:dyDescent="0.25">
      <c r="A16" s="11" t="s">
        <v>148</v>
      </c>
      <c r="B16" s="13">
        <v>3111</v>
      </c>
      <c r="C16" s="14">
        <f>(2573/B16*100)</f>
        <v>82.706525233044033</v>
      </c>
      <c r="D16" s="15">
        <v>538</v>
      </c>
      <c r="E16" s="14">
        <v>43.806375260000003</v>
      </c>
      <c r="F16" s="16">
        <v>2.3157244800000001</v>
      </c>
      <c r="G16" s="14">
        <v>14.30191525</v>
      </c>
      <c r="H16" s="16">
        <v>1.61073197</v>
      </c>
      <c r="I16" s="14">
        <v>41.891709489999997</v>
      </c>
      <c r="J16" s="16">
        <v>2.3422333700000002</v>
      </c>
      <c r="K16" s="14" t="s">
        <v>139</v>
      </c>
      <c r="L16" s="16" t="s">
        <v>139</v>
      </c>
      <c r="M16" s="14">
        <v>0</v>
      </c>
      <c r="N16" s="16">
        <v>0</v>
      </c>
      <c r="O16" s="14">
        <v>0</v>
      </c>
      <c r="P16" s="16">
        <v>0</v>
      </c>
      <c r="Q16" s="14">
        <v>0</v>
      </c>
      <c r="R16" s="16">
        <v>0</v>
      </c>
      <c r="S16" s="14">
        <v>0</v>
      </c>
      <c r="T16" s="16">
        <v>0</v>
      </c>
    </row>
    <row r="17" spans="1:20" x14ac:dyDescent="0.25">
      <c r="A17" s="11" t="s">
        <v>149</v>
      </c>
      <c r="B17" s="13">
        <v>3197</v>
      </c>
      <c r="C17" s="14">
        <f>(2627/B17*100)</f>
        <v>82.170785111041596</v>
      </c>
      <c r="D17" s="15">
        <v>570</v>
      </c>
      <c r="E17" s="14">
        <v>41.614852569999996</v>
      </c>
      <c r="F17" s="16">
        <v>2.09013815</v>
      </c>
      <c r="G17" s="14">
        <v>14.61642634</v>
      </c>
      <c r="H17" s="16">
        <v>1.5158054700000001</v>
      </c>
      <c r="I17" s="14">
        <v>43.7687211</v>
      </c>
      <c r="J17" s="16">
        <v>2.0788967</v>
      </c>
      <c r="K17" s="14" t="s">
        <v>139</v>
      </c>
      <c r="L17" s="16" t="s">
        <v>139</v>
      </c>
      <c r="M17" s="14">
        <v>0</v>
      </c>
      <c r="N17" s="16">
        <v>0</v>
      </c>
      <c r="O17" s="14">
        <v>0</v>
      </c>
      <c r="P17" s="16">
        <v>0</v>
      </c>
      <c r="Q17" s="14">
        <v>0</v>
      </c>
      <c r="R17" s="16">
        <v>0</v>
      </c>
      <c r="S17" s="14">
        <v>0</v>
      </c>
      <c r="T17" s="16">
        <v>0</v>
      </c>
    </row>
    <row r="18" spans="1:20" x14ac:dyDescent="0.25">
      <c r="A18" s="11" t="s">
        <v>150</v>
      </c>
      <c r="B18" s="13">
        <v>2706</v>
      </c>
      <c r="C18" s="14">
        <f>(2237/B18*100)</f>
        <v>82.668144863266818</v>
      </c>
      <c r="D18" s="15">
        <v>469</v>
      </c>
      <c r="E18" s="14">
        <v>42.531743800000001</v>
      </c>
      <c r="F18" s="16">
        <v>2.44695135</v>
      </c>
      <c r="G18" s="14">
        <v>12.122171460000001</v>
      </c>
      <c r="H18" s="16">
        <v>1.79340908</v>
      </c>
      <c r="I18" s="14">
        <v>45.346084750000003</v>
      </c>
      <c r="J18" s="16">
        <v>2.5481713699999999</v>
      </c>
      <c r="K18" s="14" t="s">
        <v>139</v>
      </c>
      <c r="L18" s="16" t="s">
        <v>139</v>
      </c>
      <c r="M18" s="14">
        <v>0</v>
      </c>
      <c r="N18" s="16">
        <v>0</v>
      </c>
      <c r="O18" s="14">
        <v>0</v>
      </c>
      <c r="P18" s="16">
        <v>0</v>
      </c>
      <c r="Q18" s="14">
        <v>0</v>
      </c>
      <c r="R18" s="16">
        <v>0</v>
      </c>
      <c r="S18" s="14">
        <v>0</v>
      </c>
      <c r="T18" s="16">
        <v>0</v>
      </c>
    </row>
    <row r="19" spans="1:20" x14ac:dyDescent="0.25">
      <c r="A19" s="11" t="s">
        <v>151</v>
      </c>
      <c r="B19" s="13">
        <v>2850</v>
      </c>
      <c r="C19" s="14">
        <f>(2377/B19*100)</f>
        <v>83.403508771929822</v>
      </c>
      <c r="D19" s="15">
        <v>473</v>
      </c>
      <c r="E19" s="14">
        <v>46.194694669999997</v>
      </c>
      <c r="F19" s="16">
        <v>2.7850577699999999</v>
      </c>
      <c r="G19" s="14">
        <v>23.88284487</v>
      </c>
      <c r="H19" s="16">
        <v>2.2121667399999998</v>
      </c>
      <c r="I19" s="14">
        <v>29.92246046</v>
      </c>
      <c r="J19" s="16">
        <v>2.3667857099999998</v>
      </c>
      <c r="K19" s="14" t="s">
        <v>139</v>
      </c>
      <c r="L19" s="16" t="s">
        <v>139</v>
      </c>
      <c r="M19" s="14">
        <v>0</v>
      </c>
      <c r="N19" s="16">
        <v>0</v>
      </c>
      <c r="O19" s="14">
        <v>0</v>
      </c>
      <c r="P19" s="16">
        <v>0</v>
      </c>
      <c r="Q19" s="14">
        <v>0</v>
      </c>
      <c r="R19" s="16">
        <v>0</v>
      </c>
      <c r="S19" s="14">
        <v>0</v>
      </c>
      <c r="T19" s="16">
        <v>0</v>
      </c>
    </row>
    <row r="20" spans="1:20" x14ac:dyDescent="0.25">
      <c r="A20" s="11" t="s">
        <v>152</v>
      </c>
      <c r="B20" s="13">
        <v>1741</v>
      </c>
      <c r="C20" s="14">
        <f>(1443/B20*100)</f>
        <v>82.883400344629521</v>
      </c>
      <c r="D20" s="15">
        <v>298</v>
      </c>
      <c r="E20" s="14">
        <v>30.123047880000001</v>
      </c>
      <c r="F20" s="16">
        <v>2.7228095799999998</v>
      </c>
      <c r="G20" s="14">
        <v>24.679158650000002</v>
      </c>
      <c r="H20" s="16">
        <v>3.1216795300000002</v>
      </c>
      <c r="I20" s="14">
        <v>45.197793470000001</v>
      </c>
      <c r="J20" s="16">
        <v>2.9227771100000002</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(3138/B22*100)</f>
        <v>85.574038723752395</v>
      </c>
      <c r="D22" s="15">
        <v>529</v>
      </c>
      <c r="E22" s="14">
        <v>43.131610170000002</v>
      </c>
      <c r="F22" s="16">
        <v>2.1468950200000001</v>
      </c>
      <c r="G22" s="14">
        <v>13.69619898</v>
      </c>
      <c r="H22" s="16">
        <v>1.48372846</v>
      </c>
      <c r="I22" s="14">
        <v>43.17219085</v>
      </c>
      <c r="J22" s="16">
        <v>2.0585159900000001</v>
      </c>
      <c r="K22" s="14" t="s">
        <v>139</v>
      </c>
      <c r="L22" s="16" t="s">
        <v>139</v>
      </c>
      <c r="M22" s="14">
        <v>0</v>
      </c>
      <c r="N22" s="16">
        <v>0</v>
      </c>
      <c r="O22" s="14">
        <v>0</v>
      </c>
      <c r="P22" s="16">
        <v>0</v>
      </c>
      <c r="Q22" s="14">
        <v>0</v>
      </c>
      <c r="R22" s="16">
        <v>0</v>
      </c>
      <c r="S22" s="14">
        <v>0</v>
      </c>
      <c r="T22" s="16">
        <v>0</v>
      </c>
    </row>
    <row r="23" spans="1:20" x14ac:dyDescent="0.25">
      <c r="A23" s="11" t="s">
        <v>156</v>
      </c>
      <c r="B23" s="13">
        <v>5792</v>
      </c>
      <c r="C23" s="14">
        <f>(4803/B23*100)</f>
        <v>82.924723756906076</v>
      </c>
      <c r="D23" s="15">
        <v>989</v>
      </c>
      <c r="E23" s="14">
        <v>57.638540519999999</v>
      </c>
      <c r="F23" s="16">
        <v>2.3906378400000001</v>
      </c>
      <c r="G23" s="14">
        <v>15.353128959999999</v>
      </c>
      <c r="H23" s="16">
        <v>1.78298187</v>
      </c>
      <c r="I23" s="14">
        <v>27.008330520000001</v>
      </c>
      <c r="J23" s="16">
        <v>2.37300983</v>
      </c>
      <c r="K23" s="14" t="s">
        <v>139</v>
      </c>
      <c r="L23" s="16" t="s">
        <v>139</v>
      </c>
      <c r="M23" s="14">
        <v>0</v>
      </c>
      <c r="N23" s="16">
        <v>0</v>
      </c>
      <c r="O23" s="14">
        <v>0</v>
      </c>
      <c r="P23" s="16">
        <v>0</v>
      </c>
      <c r="Q23" s="14">
        <v>0</v>
      </c>
      <c r="R23" s="16">
        <v>0</v>
      </c>
      <c r="S23" s="14">
        <v>0</v>
      </c>
      <c r="T23" s="16">
        <v>0</v>
      </c>
    </row>
    <row r="24" spans="1:20" x14ac:dyDescent="0.25">
      <c r="A24" s="11" t="s">
        <v>157</v>
      </c>
      <c r="B24" s="13">
        <v>3309</v>
      </c>
      <c r="C24" s="14">
        <f>(2724/B24*100)</f>
        <v>82.320942883046229</v>
      </c>
      <c r="D24" s="15">
        <v>585</v>
      </c>
      <c r="E24" s="14">
        <v>18.853739319999999</v>
      </c>
      <c r="F24" s="16">
        <v>2.53751791</v>
      </c>
      <c r="G24" s="14">
        <v>6.1341052400000002</v>
      </c>
      <c r="H24" s="16">
        <v>0.80636730999999995</v>
      </c>
      <c r="I24" s="14">
        <v>75.012155449999995</v>
      </c>
      <c r="J24" s="16">
        <v>2.4210476399999998</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10.08903701</v>
      </c>
      <c r="F25" s="16">
        <v>1.5037949900000001</v>
      </c>
      <c r="G25" s="14">
        <v>4.2616061500000004</v>
      </c>
      <c r="H25" s="16">
        <v>0.86094294000000005</v>
      </c>
      <c r="I25" s="14">
        <v>85.649356830000002</v>
      </c>
      <c r="J25" s="16">
        <v>1.55862704</v>
      </c>
      <c r="K25" s="14" t="s">
        <v>139</v>
      </c>
      <c r="L25" s="16" t="s">
        <v>139</v>
      </c>
      <c r="M25" s="14">
        <v>0</v>
      </c>
      <c r="N25" s="16">
        <v>0</v>
      </c>
      <c r="O25" s="14">
        <v>0</v>
      </c>
      <c r="P25" s="16">
        <v>0</v>
      </c>
      <c r="Q25" s="14">
        <v>0</v>
      </c>
      <c r="R25" s="16">
        <v>0</v>
      </c>
      <c r="S25" s="14">
        <v>0</v>
      </c>
      <c r="T25" s="16">
        <v>0</v>
      </c>
    </row>
    <row r="26" spans="1:20" x14ac:dyDescent="0.25">
      <c r="A26" s="11" t="s">
        <v>159</v>
      </c>
      <c r="B26" s="13">
        <v>2419</v>
      </c>
      <c r="C26" s="14">
        <f>(1994/B26*100)</f>
        <v>82.430756510954936</v>
      </c>
      <c r="D26" s="15">
        <v>425</v>
      </c>
      <c r="E26" s="14">
        <v>47.262398810000001</v>
      </c>
      <c r="F26" s="16">
        <v>2.39640969</v>
      </c>
      <c r="G26" s="14">
        <v>14.311966999999999</v>
      </c>
      <c r="H26" s="16">
        <v>1.8372637300000001</v>
      </c>
      <c r="I26" s="14">
        <v>38.425634189999997</v>
      </c>
      <c r="J26" s="16">
        <v>2.3809063199999998</v>
      </c>
      <c r="K26" s="14" t="s">
        <v>139</v>
      </c>
      <c r="L26" s="16" t="s">
        <v>139</v>
      </c>
      <c r="M26" s="14">
        <v>0</v>
      </c>
      <c r="N26" s="16">
        <v>0</v>
      </c>
      <c r="O26" s="14">
        <v>0</v>
      </c>
      <c r="P26" s="16">
        <v>0</v>
      </c>
      <c r="Q26" s="14">
        <v>0</v>
      </c>
      <c r="R26" s="16">
        <v>0</v>
      </c>
      <c r="S26" s="14">
        <v>0</v>
      </c>
      <c r="T26" s="16">
        <v>0</v>
      </c>
    </row>
    <row r="27" spans="1:20" x14ac:dyDescent="0.25">
      <c r="A27" s="11" t="s">
        <v>160</v>
      </c>
      <c r="B27" s="13">
        <v>2683</v>
      </c>
      <c r="C27" s="14">
        <f>(2228/B27*100)</f>
        <v>83.041371598956388</v>
      </c>
      <c r="D27" s="15">
        <v>455</v>
      </c>
      <c r="E27" s="14">
        <v>44.9774411</v>
      </c>
      <c r="F27" s="16">
        <v>2.5149965299999999</v>
      </c>
      <c r="G27" s="14">
        <v>13.13193208</v>
      </c>
      <c r="H27" s="16">
        <v>1.8072314700000001</v>
      </c>
      <c r="I27" s="14">
        <v>41.890626830000002</v>
      </c>
      <c r="J27" s="16">
        <v>2.1962394999999999</v>
      </c>
      <c r="K27" s="14" t="s">
        <v>139</v>
      </c>
      <c r="L27" s="16" t="s">
        <v>139</v>
      </c>
      <c r="M27" s="14">
        <v>0</v>
      </c>
      <c r="N27" s="16">
        <v>0</v>
      </c>
      <c r="O27" s="14">
        <v>0</v>
      </c>
      <c r="P27" s="16">
        <v>0</v>
      </c>
      <c r="Q27" s="14">
        <v>0</v>
      </c>
      <c r="R27" s="16">
        <v>0</v>
      </c>
      <c r="S27" s="14">
        <v>0</v>
      </c>
      <c r="T27" s="16">
        <v>0</v>
      </c>
    </row>
    <row r="28" spans="1:20" x14ac:dyDescent="0.25">
      <c r="A28" s="11" t="s">
        <v>161</v>
      </c>
      <c r="B28" s="13">
        <v>3803</v>
      </c>
      <c r="C28" s="14">
        <f>(3209/B28*100)</f>
        <v>84.380752037864852</v>
      </c>
      <c r="D28" s="15">
        <v>594</v>
      </c>
      <c r="E28" s="14">
        <v>57.865608819999999</v>
      </c>
      <c r="F28" s="16">
        <v>2.4856905999999999</v>
      </c>
      <c r="G28" s="14">
        <v>16.874565950000001</v>
      </c>
      <c r="H28" s="16">
        <v>1.67050326</v>
      </c>
      <c r="I28" s="14">
        <v>25.259825230000001</v>
      </c>
      <c r="J28" s="16">
        <v>2.2166036600000001</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(2265/B29*100)</f>
        <v>83.888888888888886</v>
      </c>
      <c r="D29" s="15">
        <v>435</v>
      </c>
      <c r="E29" s="14">
        <v>46.96954272</v>
      </c>
      <c r="F29" s="16">
        <v>2.5634970899999998</v>
      </c>
      <c r="G29" s="14">
        <v>19.57533763</v>
      </c>
      <c r="H29" s="16">
        <v>2.0963542099999999</v>
      </c>
      <c r="I29" s="14">
        <v>33.45511965</v>
      </c>
      <c r="J29" s="16">
        <v>2.0593374899999999</v>
      </c>
      <c r="K29" s="14" t="s">
        <v>139</v>
      </c>
      <c r="L29" s="16" t="s">
        <v>139</v>
      </c>
      <c r="M29" s="14">
        <v>0</v>
      </c>
      <c r="N29" s="16">
        <v>0</v>
      </c>
      <c r="O29" s="14">
        <v>0</v>
      </c>
      <c r="P29" s="16">
        <v>0</v>
      </c>
      <c r="Q29" s="14">
        <v>0</v>
      </c>
      <c r="R29" s="16">
        <v>0</v>
      </c>
      <c r="S29" s="14">
        <v>0</v>
      </c>
      <c r="T29" s="16">
        <v>0</v>
      </c>
    </row>
    <row r="30" spans="1:20" x14ac:dyDescent="0.25">
      <c r="A30" s="11" t="s">
        <v>163</v>
      </c>
      <c r="B30" s="13">
        <v>2257</v>
      </c>
      <c r="C30" s="14">
        <f>(1911/B30*100)</f>
        <v>84.669915817456797</v>
      </c>
      <c r="D30" s="15">
        <v>346</v>
      </c>
      <c r="E30" s="14">
        <v>25.890006169999999</v>
      </c>
      <c r="F30" s="16">
        <v>2.60442141</v>
      </c>
      <c r="G30" s="14">
        <v>8.34599081</v>
      </c>
      <c r="H30" s="16">
        <v>1.3775794299999999</v>
      </c>
      <c r="I30" s="14">
        <v>65.764003009999996</v>
      </c>
      <c r="J30" s="16">
        <v>2.8178809500000002</v>
      </c>
      <c r="K30" s="14" t="s">
        <v>139</v>
      </c>
      <c r="L30" s="16" t="s">
        <v>139</v>
      </c>
      <c r="M30" s="14">
        <v>0</v>
      </c>
      <c r="N30" s="16">
        <v>0</v>
      </c>
      <c r="O30" s="14">
        <v>0</v>
      </c>
      <c r="P30" s="16">
        <v>0</v>
      </c>
      <c r="Q30" s="14">
        <v>0</v>
      </c>
      <c r="R30" s="16">
        <v>0</v>
      </c>
      <c r="S30" s="14">
        <v>0</v>
      </c>
      <c r="T30" s="16">
        <v>0</v>
      </c>
    </row>
    <row r="31" spans="1:20" x14ac:dyDescent="0.25">
      <c r="A31" s="11" t="s">
        <v>164</v>
      </c>
      <c r="B31" s="13">
        <v>2706</v>
      </c>
      <c r="C31" s="14">
        <f>(2247/B31*100)</f>
        <v>83.037694013303764</v>
      </c>
      <c r="D31" s="15">
        <v>459</v>
      </c>
      <c r="E31" s="14">
        <v>35.343731669999997</v>
      </c>
      <c r="F31" s="16">
        <v>2.5196432600000001</v>
      </c>
      <c r="G31" s="14">
        <v>5.7004634899999997</v>
      </c>
      <c r="H31" s="16">
        <v>0.96892738</v>
      </c>
      <c r="I31" s="14">
        <v>58.955804839999999</v>
      </c>
      <c r="J31" s="16">
        <v>2.69270079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(3051/B33*100)</f>
        <v>83.566146261298286</v>
      </c>
      <c r="D33" s="15">
        <v>600</v>
      </c>
      <c r="E33" s="14">
        <v>33.909707849999997</v>
      </c>
      <c r="F33" s="16">
        <v>1.98325364</v>
      </c>
      <c r="G33" s="14">
        <v>13.23091797</v>
      </c>
      <c r="H33" s="16">
        <v>1.61078875</v>
      </c>
      <c r="I33" s="14">
        <v>52.859374180000003</v>
      </c>
      <c r="J33" s="16">
        <v>2.1089535100000001</v>
      </c>
      <c r="K33" s="14" t="s">
        <v>139</v>
      </c>
      <c r="L33" s="16" t="s">
        <v>139</v>
      </c>
      <c r="M33" s="14">
        <v>0</v>
      </c>
      <c r="N33" s="16">
        <v>0</v>
      </c>
      <c r="O33" s="14">
        <v>0</v>
      </c>
      <c r="P33" s="16">
        <v>0</v>
      </c>
      <c r="Q33" s="14">
        <v>0</v>
      </c>
      <c r="R33" s="16">
        <v>0</v>
      </c>
      <c r="S33" s="14">
        <v>0</v>
      </c>
      <c r="T33" s="16">
        <v>0</v>
      </c>
    </row>
    <row r="34" spans="1:20" x14ac:dyDescent="0.25">
      <c r="A34" s="11" t="s">
        <v>167</v>
      </c>
      <c r="B34" s="13">
        <v>3035</v>
      </c>
      <c r="C34" s="14">
        <f>(2544/B34*100)</f>
        <v>83.82207578253707</v>
      </c>
      <c r="D34" s="15">
        <v>491</v>
      </c>
      <c r="E34" s="14">
        <v>53.26342751</v>
      </c>
      <c r="F34" s="16">
        <v>2.18213195</v>
      </c>
      <c r="G34" s="14">
        <v>11.123727150000001</v>
      </c>
      <c r="H34" s="16">
        <v>1.4594665200000001</v>
      </c>
      <c r="I34" s="14">
        <v>35.61284534</v>
      </c>
      <c r="J34" s="16">
        <v>2.34151825</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(2422/B35*100)</f>
        <v>83.488452257842127</v>
      </c>
      <c r="D35" s="15">
        <v>479</v>
      </c>
      <c r="E35" s="14">
        <v>48.147067360000001</v>
      </c>
      <c r="F35" s="16">
        <v>2.8019769600000002</v>
      </c>
      <c r="G35" s="14">
        <v>13.46806262</v>
      </c>
      <c r="H35" s="16">
        <v>2.0367264700000001</v>
      </c>
      <c r="I35" s="14">
        <v>38.384870020000001</v>
      </c>
      <c r="J35" s="16">
        <v>3.0509366</v>
      </c>
      <c r="K35" s="14" t="s">
        <v>139</v>
      </c>
      <c r="L35" s="16" t="s">
        <v>139</v>
      </c>
      <c r="M35" s="14">
        <v>0</v>
      </c>
      <c r="N35" s="16">
        <v>0</v>
      </c>
      <c r="O35" s="14">
        <v>0</v>
      </c>
      <c r="P35" s="16">
        <v>0</v>
      </c>
      <c r="Q35" s="14">
        <v>0</v>
      </c>
      <c r="R35" s="16">
        <v>0</v>
      </c>
      <c r="S35" s="14">
        <v>0</v>
      </c>
      <c r="T35" s="16">
        <v>0</v>
      </c>
    </row>
    <row r="36" spans="1:20" x14ac:dyDescent="0.25">
      <c r="A36" s="11" t="s">
        <v>169</v>
      </c>
      <c r="B36" s="13">
        <v>3404</v>
      </c>
      <c r="C36" s="14">
        <f>(2843/B36*100)</f>
        <v>83.519388954171561</v>
      </c>
      <c r="D36" s="15">
        <v>561</v>
      </c>
      <c r="E36" s="14">
        <v>47.191273440000003</v>
      </c>
      <c r="F36" s="16">
        <v>2.2543947800000002</v>
      </c>
      <c r="G36" s="14">
        <v>12.72910398</v>
      </c>
      <c r="H36" s="16">
        <v>1.3802048099999999</v>
      </c>
      <c r="I36" s="14">
        <v>40.079622579999999</v>
      </c>
      <c r="J36" s="16">
        <v>2.2167176099999999</v>
      </c>
      <c r="K36" s="14" t="s">
        <v>139</v>
      </c>
      <c r="L36" s="16" t="s">
        <v>139</v>
      </c>
      <c r="M36" s="14">
        <v>0</v>
      </c>
      <c r="N36" s="16">
        <v>0</v>
      </c>
      <c r="O36" s="14">
        <v>0</v>
      </c>
      <c r="P36" s="16">
        <v>0</v>
      </c>
      <c r="Q36" s="14">
        <v>0</v>
      </c>
      <c r="R36" s="16">
        <v>0</v>
      </c>
      <c r="S36" s="14">
        <v>0</v>
      </c>
      <c r="T36" s="16">
        <v>0</v>
      </c>
    </row>
    <row r="37" spans="1:20" x14ac:dyDescent="0.25">
      <c r="A37" s="11" t="s">
        <v>170</v>
      </c>
      <c r="B37" s="13">
        <v>2731</v>
      </c>
      <c r="C37" s="14">
        <f>(2280/B37*100)</f>
        <v>83.485902599780303</v>
      </c>
      <c r="D37" s="15">
        <v>451</v>
      </c>
      <c r="E37" s="14">
        <v>31.787895280000001</v>
      </c>
      <c r="F37" s="16">
        <v>2.0604683700000002</v>
      </c>
      <c r="G37" s="14">
        <v>14.405581400000001</v>
      </c>
      <c r="H37" s="16">
        <v>1.6316352599999999</v>
      </c>
      <c r="I37" s="14">
        <v>53.806523319999997</v>
      </c>
      <c r="J37" s="16">
        <v>2.2186477299999998</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(2414/B39*100)</f>
        <v>82.164737916950301</v>
      </c>
      <c r="D39" s="15">
        <v>524</v>
      </c>
      <c r="E39" s="14">
        <v>51.501301499999997</v>
      </c>
      <c r="F39" s="16">
        <v>2.2876584800000002</v>
      </c>
      <c r="G39" s="14">
        <v>14.624847620000001</v>
      </c>
      <c r="H39" s="16">
        <v>1.4863383100000001</v>
      </c>
      <c r="I39" s="14">
        <v>33.873850879999999</v>
      </c>
      <c r="J39" s="16">
        <v>2.18891744</v>
      </c>
      <c r="K39" s="14" t="s">
        <v>139</v>
      </c>
      <c r="L39" s="16" t="s">
        <v>139</v>
      </c>
      <c r="M39" s="14">
        <v>0</v>
      </c>
      <c r="N39" s="16">
        <v>0</v>
      </c>
      <c r="O39" s="14">
        <v>0</v>
      </c>
      <c r="P39" s="16">
        <v>0</v>
      </c>
      <c r="Q39" s="14">
        <v>0</v>
      </c>
      <c r="R39" s="16">
        <v>0</v>
      </c>
      <c r="S39" s="14">
        <v>0</v>
      </c>
      <c r="T39" s="16">
        <v>0</v>
      </c>
    </row>
    <row r="40" spans="1:20" x14ac:dyDescent="0.25">
      <c r="A40" s="11" t="s">
        <v>173</v>
      </c>
      <c r="B40" s="13">
        <v>6922</v>
      </c>
      <c r="C40" s="14">
        <f>(5740/B40*100)</f>
        <v>82.924010401618034</v>
      </c>
      <c r="D40" s="15">
        <v>1182</v>
      </c>
      <c r="E40" s="14">
        <v>27.285130339999998</v>
      </c>
      <c r="F40" s="16">
        <v>2.0783100499999998</v>
      </c>
      <c r="G40" s="14">
        <v>10.494756730000001</v>
      </c>
      <c r="H40" s="16">
        <v>1.36188117</v>
      </c>
      <c r="I40" s="14">
        <v>62.220112929999999</v>
      </c>
      <c r="J40" s="16">
        <v>2.11588179</v>
      </c>
      <c r="K40" s="14" t="s">
        <v>139</v>
      </c>
      <c r="L40" s="16" t="s">
        <v>139</v>
      </c>
      <c r="M40" s="14">
        <v>0</v>
      </c>
      <c r="N40" s="16">
        <v>0</v>
      </c>
      <c r="O40" s="14">
        <v>0</v>
      </c>
      <c r="P40" s="16">
        <v>0</v>
      </c>
      <c r="Q40" s="14">
        <v>0</v>
      </c>
      <c r="R40" s="16">
        <v>0</v>
      </c>
      <c r="S40" s="14">
        <v>0</v>
      </c>
      <c r="T40" s="16">
        <v>0</v>
      </c>
    </row>
    <row r="41" spans="1:20" x14ac:dyDescent="0.25">
      <c r="A41" s="11" t="s">
        <v>174</v>
      </c>
      <c r="B41" s="13">
        <v>2854</v>
      </c>
      <c r="C41" s="14">
        <f>(2356/B41*100)</f>
        <v>82.550805886475118</v>
      </c>
      <c r="D41" s="15">
        <v>498</v>
      </c>
      <c r="E41" s="14">
        <v>30.384701199999999</v>
      </c>
      <c r="F41" s="16">
        <v>2.1791411799999998</v>
      </c>
      <c r="G41" s="14">
        <v>9.5128786099999996</v>
      </c>
      <c r="H41" s="16">
        <v>1.2558287100000001</v>
      </c>
      <c r="I41" s="14">
        <v>60.102420189999997</v>
      </c>
      <c r="J41" s="16">
        <v>2.1267262300000001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83.213859190561493</v>
      </c>
      <c r="D42" s="15">
        <f>IF(COUNT(D7:D41) &gt; 0, AVERAGE(D7:D41), "—")</f>
        <v>606.40625</v>
      </c>
      <c r="E42" s="14">
        <f>IF(COUNT(E7:E41) &gt; 0, AVERAGE(E7:E41), "—")</f>
        <v>38.332572915937504</v>
      </c>
      <c r="F42" s="16">
        <f>IF(COUNT(F7:F41) &gt; 0, SQRT(SUMSQ(F7:F41)/(COUNT(F7:F41)*COUNT(F7:F41)) ), "—")</f>
        <v>0.40044756180940738</v>
      </c>
      <c r="G42" s="14">
        <f>IF(COUNT(G7:G41) &gt; 0, AVERAGE(G7:G41), "—")</f>
        <v>13.034300249687499</v>
      </c>
      <c r="H42" s="16">
        <f>IF(COUNT(H7:H41) &gt; 0, SQRT(SUMSQ(H7:H41)/(COUNT(H7:H41)*COUNT(H7:H41)) ), "—")</f>
        <v>0.28314217016379639</v>
      </c>
      <c r="I42" s="14">
        <f>IF(COUNT(I7:I41) &gt; 0, AVERAGE(I7:I41), "—")</f>
        <v>48.633126834687488</v>
      </c>
      <c r="J42" s="16">
        <f>IF(COUNT(J7:J41) &gt; 0, SQRT(SUMSQ(J7:J41)/(COUNT(J7:J41)*COUNT(J7:J41)) ), "—")</f>
        <v>0.39938417018342109</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(10528/B46*100)</f>
        <v>87.2028493332229</v>
      </c>
      <c r="D46" s="15">
        <v>1545</v>
      </c>
      <c r="E46" s="14">
        <v>58.720287720000002</v>
      </c>
      <c r="F46" s="16">
        <v>1.4512519399999999</v>
      </c>
      <c r="G46" s="14">
        <v>14.11348347</v>
      </c>
      <c r="H46" s="16">
        <v>0.92968753000000004</v>
      </c>
      <c r="I46" s="14">
        <v>27.16622881</v>
      </c>
      <c r="J46" s="16">
        <v>1.35850538</v>
      </c>
      <c r="K46" s="14" t="s">
        <v>139</v>
      </c>
      <c r="L46" s="16" t="s">
        <v>139</v>
      </c>
      <c r="M46" s="14">
        <v>0</v>
      </c>
      <c r="N46" s="16">
        <v>0</v>
      </c>
      <c r="O46" s="14">
        <v>0</v>
      </c>
      <c r="P46" s="16">
        <v>0</v>
      </c>
      <c r="Q46" s="14">
        <v>0</v>
      </c>
      <c r="R46" s="16">
        <v>0</v>
      </c>
      <c r="S46" s="14">
        <v>0</v>
      </c>
      <c r="T46" s="16">
        <v>0</v>
      </c>
    </row>
    <row r="47" spans="1:20" x14ac:dyDescent="0.25">
      <c r="A47" s="11" t="s">
        <v>180</v>
      </c>
      <c r="B47" s="13">
        <v>2823</v>
      </c>
      <c r="C47" s="14">
        <f>(2353/B47*100)</f>
        <v>83.351044987601838</v>
      </c>
      <c r="D47" s="15">
        <v>470</v>
      </c>
      <c r="E47" s="14">
        <v>45.035612059999998</v>
      </c>
      <c r="F47" s="16">
        <v>2.2125782699999998</v>
      </c>
      <c r="G47" s="14">
        <v>15.91663076</v>
      </c>
      <c r="H47" s="16">
        <v>1.79137459</v>
      </c>
      <c r="I47" s="14">
        <v>39.047757179999998</v>
      </c>
      <c r="J47" s="16">
        <v>2.2391586800000001</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(3888/B48*100)</f>
        <v>83.041435284066637</v>
      </c>
      <c r="D48" s="15">
        <v>794</v>
      </c>
      <c r="E48" s="14">
        <v>22.240480269999999</v>
      </c>
      <c r="F48" s="16">
        <v>1.82457647</v>
      </c>
      <c r="G48" s="14">
        <v>5.8616358999999996</v>
      </c>
      <c r="H48" s="16">
        <v>1.22136164</v>
      </c>
      <c r="I48" s="14">
        <v>71.897883840000006</v>
      </c>
      <c r="J48" s="16">
        <v>2.2858799300000001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(5168/B50*100)</f>
        <v>83.923351737577136</v>
      </c>
      <c r="D50" s="15">
        <v>990</v>
      </c>
      <c r="E50" s="14">
        <v>69.06931659</v>
      </c>
      <c r="F50" s="16">
        <v>1.60825617</v>
      </c>
      <c r="G50" s="14">
        <v>9.8653777999999992</v>
      </c>
      <c r="H50" s="16">
        <v>1.0707381300000001</v>
      </c>
      <c r="I50" s="14">
        <v>21.065305609999999</v>
      </c>
      <c r="J50" s="16">
        <v>1.56721471</v>
      </c>
      <c r="K50" s="14" t="s">
        <v>139</v>
      </c>
      <c r="L50" s="16" t="s">
        <v>139</v>
      </c>
      <c r="M50" s="14">
        <v>0</v>
      </c>
      <c r="N50" s="16">
        <v>0</v>
      </c>
      <c r="O50" s="14">
        <v>0</v>
      </c>
      <c r="P50" s="16">
        <v>0</v>
      </c>
      <c r="Q50" s="14">
        <v>0</v>
      </c>
      <c r="R50" s="16">
        <v>0</v>
      </c>
      <c r="S50" s="14">
        <v>0</v>
      </c>
      <c r="T50" s="16">
        <v>0</v>
      </c>
    </row>
    <row r="51" spans="1:20" x14ac:dyDescent="0.25">
      <c r="A51" s="11" t="s">
        <v>184</v>
      </c>
      <c r="B51" s="13">
        <v>3494</v>
      </c>
      <c r="C51" s="14">
        <f>(3000/B51*100)</f>
        <v>85.861476817401268</v>
      </c>
      <c r="D51" s="15">
        <v>494</v>
      </c>
      <c r="E51" s="14">
        <v>68.817972420000004</v>
      </c>
      <c r="F51" s="16">
        <v>2.35853197</v>
      </c>
      <c r="G51" s="14">
        <v>11.23150588</v>
      </c>
      <c r="H51" s="16">
        <v>1.48357962</v>
      </c>
      <c r="I51" s="14">
        <v>19.950521699999999</v>
      </c>
      <c r="J51" s="16">
        <v>2.0063976100000001</v>
      </c>
      <c r="K51" s="14" t="s">
        <v>139</v>
      </c>
      <c r="L51" s="16" t="s">
        <v>139</v>
      </c>
      <c r="M51" s="14">
        <v>0</v>
      </c>
      <c r="N51" s="16">
        <v>0</v>
      </c>
      <c r="O51" s="14">
        <v>0</v>
      </c>
      <c r="P51" s="16">
        <v>0</v>
      </c>
      <c r="Q51" s="14">
        <v>0</v>
      </c>
      <c r="R51" s="16">
        <v>0</v>
      </c>
      <c r="S51" s="14">
        <v>0</v>
      </c>
      <c r="T51" s="16">
        <v>0</v>
      </c>
    </row>
    <row r="52" spans="1:20" x14ac:dyDescent="0.25">
      <c r="A52" s="11" t="s">
        <v>185</v>
      </c>
      <c r="B52" s="13">
        <v>3013</v>
      </c>
      <c r="C52" s="14">
        <f>(2499/B52*100)</f>
        <v>82.940590773315634</v>
      </c>
      <c r="D52" s="15">
        <v>514</v>
      </c>
      <c r="E52" s="14">
        <v>41.006687059999997</v>
      </c>
      <c r="F52" s="16">
        <v>2.3284722900000001</v>
      </c>
      <c r="G52" s="14">
        <v>13.013200299999999</v>
      </c>
      <c r="H52" s="16">
        <v>1.55193994</v>
      </c>
      <c r="I52" s="14">
        <v>45.980112640000002</v>
      </c>
      <c r="J52" s="16">
        <v>2.4105301099999998</v>
      </c>
      <c r="K52" s="14" t="s">
        <v>139</v>
      </c>
      <c r="L52" s="16" t="s">
        <v>139</v>
      </c>
      <c r="M52" s="14">
        <v>0</v>
      </c>
      <c r="N52" s="16">
        <v>0</v>
      </c>
      <c r="O52" s="14">
        <v>0</v>
      </c>
      <c r="P52" s="16">
        <v>0</v>
      </c>
      <c r="Q52" s="14">
        <v>0</v>
      </c>
      <c r="R52" s="16">
        <v>0</v>
      </c>
      <c r="S52" s="14">
        <v>0</v>
      </c>
      <c r="T52" s="16">
        <v>0</v>
      </c>
    </row>
    <row r="53" spans="1:20" x14ac:dyDescent="0.25">
      <c r="A53" s="11" t="s">
        <v>186</v>
      </c>
      <c r="B53" s="13">
        <v>2760</v>
      </c>
      <c r="C53" s="14">
        <f>(2316/B53*100)</f>
        <v>83.913043478260875</v>
      </c>
      <c r="D53" s="15">
        <v>444</v>
      </c>
      <c r="E53" s="14">
        <v>45.023584489999998</v>
      </c>
      <c r="F53" s="16">
        <v>2.17241134</v>
      </c>
      <c r="G53" s="14">
        <v>16.50777673</v>
      </c>
      <c r="H53" s="16">
        <v>1.80178445</v>
      </c>
      <c r="I53" s="14">
        <v>38.46863879</v>
      </c>
      <c r="J53" s="16">
        <v>2.2614642900000002</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(2209/B56*100)</f>
        <v>82.579439252336456</v>
      </c>
      <c r="D56" s="15">
        <v>466</v>
      </c>
      <c r="E56" s="14">
        <v>9.5511128900000006</v>
      </c>
      <c r="F56" s="16">
        <v>1.7675194000000001</v>
      </c>
      <c r="G56" s="14">
        <v>5.1199946499999998</v>
      </c>
      <c r="H56" s="16">
        <v>1.2172357199999999</v>
      </c>
      <c r="I56" s="14">
        <v>85.328892449999998</v>
      </c>
      <c r="J56" s="16">
        <v>2.0090151999999999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(2653/B61*100)</f>
        <v>82.880349890659161</v>
      </c>
      <c r="D61" s="15">
        <v>548</v>
      </c>
      <c r="E61" s="14">
        <v>63.568501580000003</v>
      </c>
      <c r="F61" s="16">
        <v>2.1300582499999998</v>
      </c>
      <c r="G61" s="14">
        <v>15.17683721</v>
      </c>
      <c r="H61" s="16">
        <v>1.76728862</v>
      </c>
      <c r="I61" s="14">
        <v>21.254661219999999</v>
      </c>
      <c r="J61" s="16">
        <v>1.8521865099999999</v>
      </c>
      <c r="K61" s="14" t="s">
        <v>139</v>
      </c>
      <c r="L61" s="16" t="s">
        <v>139</v>
      </c>
      <c r="M61" s="14">
        <v>0</v>
      </c>
      <c r="N61" s="16">
        <v>0</v>
      </c>
      <c r="O61" s="14">
        <v>0</v>
      </c>
      <c r="P61" s="16">
        <v>0</v>
      </c>
      <c r="Q61" s="14">
        <v>0</v>
      </c>
      <c r="R61" s="16">
        <v>0</v>
      </c>
      <c r="S61" s="14">
        <v>0</v>
      </c>
      <c r="T61" s="16">
        <v>0</v>
      </c>
    </row>
    <row r="62" spans="1:20" x14ac:dyDescent="0.25">
      <c r="A62" s="11" t="s">
        <v>195</v>
      </c>
      <c r="B62" s="13">
        <v>2230</v>
      </c>
      <c r="C62" s="14">
        <f>(1860/B62*100)</f>
        <v>83.408071748878925</v>
      </c>
      <c r="D62" s="15">
        <v>370</v>
      </c>
      <c r="E62" s="14">
        <v>20.306942509999999</v>
      </c>
      <c r="F62" s="16">
        <v>2.1847302800000001</v>
      </c>
      <c r="G62" s="14">
        <v>3.22869714</v>
      </c>
      <c r="H62" s="16">
        <v>0.9209138</v>
      </c>
      <c r="I62" s="14">
        <v>76.464360339999999</v>
      </c>
      <c r="J62" s="16">
        <v>2.35616855</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(2300/B66*100)</f>
        <v>83.002526163839775</v>
      </c>
      <c r="D66" s="15">
        <v>471</v>
      </c>
      <c r="E66" s="14">
        <v>59.872638500000001</v>
      </c>
      <c r="F66" s="16">
        <v>2.2412499700000001</v>
      </c>
      <c r="G66" s="14">
        <v>11.70875086</v>
      </c>
      <c r="H66" s="16">
        <v>1.6650478200000001</v>
      </c>
      <c r="I66" s="14">
        <v>28.418610640000001</v>
      </c>
      <c r="J66" s="16">
        <v>2.1136505400000001</v>
      </c>
      <c r="K66" s="14" t="s">
        <v>139</v>
      </c>
      <c r="L66" s="16" t="s">
        <v>139</v>
      </c>
      <c r="M66" s="14">
        <v>0</v>
      </c>
      <c r="N66" s="16">
        <v>0</v>
      </c>
      <c r="O66" s="14">
        <v>0</v>
      </c>
      <c r="P66" s="16">
        <v>0</v>
      </c>
      <c r="Q66" s="14">
        <v>0</v>
      </c>
      <c r="R66" s="16">
        <v>0</v>
      </c>
      <c r="S66" s="14">
        <v>0</v>
      </c>
      <c r="T66" s="16">
        <v>0</v>
      </c>
    </row>
    <row r="67" spans="1:20" x14ac:dyDescent="0.25">
      <c r="A67" s="11" t="s">
        <v>200</v>
      </c>
      <c r="B67" s="13">
        <v>3460</v>
      </c>
      <c r="C67" s="14">
        <f>(2969/B67*100)</f>
        <v>85.809248554913296</v>
      </c>
      <c r="D67" s="15">
        <v>491</v>
      </c>
      <c r="E67" s="14">
        <v>64.103726399999999</v>
      </c>
      <c r="F67" s="16">
        <v>2.2129254299999999</v>
      </c>
      <c r="G67" s="14">
        <v>12.19962477</v>
      </c>
      <c r="H67" s="16">
        <v>1.67768224</v>
      </c>
      <c r="I67" s="14">
        <v>23.696648830000001</v>
      </c>
      <c r="J67" s="16">
        <v>2.1161889199999999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(2579/B70*100)</f>
        <v>83.006115223688454</v>
      </c>
      <c r="D70" s="15">
        <v>528</v>
      </c>
      <c r="E70" s="14">
        <v>42.676912479999999</v>
      </c>
      <c r="F70" s="16">
        <v>2.3904586999999999</v>
      </c>
      <c r="G70" s="14">
        <v>5.7652902299999997</v>
      </c>
      <c r="H70" s="16">
        <v>1.11112038</v>
      </c>
      <c r="I70" s="14">
        <v>51.557797290000003</v>
      </c>
      <c r="J70" s="16">
        <v>2.35608336</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(3156/B72*100)</f>
        <v>82.639434406912798</v>
      </c>
      <c r="D72" s="15">
        <v>663</v>
      </c>
      <c r="E72" s="14">
        <v>18.911811879999998</v>
      </c>
      <c r="F72" s="16">
        <v>1.36262219</v>
      </c>
      <c r="G72" s="14">
        <v>5.1884575799999997</v>
      </c>
      <c r="H72" s="16">
        <v>0.99511450999999995</v>
      </c>
      <c r="I72" s="14">
        <v>75.899730539999993</v>
      </c>
      <c r="J72" s="16">
        <v>1.6563831099999999</v>
      </c>
      <c r="K72" s="14" t="s">
        <v>139</v>
      </c>
      <c r="L72" s="16" t="s">
        <v>139</v>
      </c>
      <c r="M72" s="14">
        <v>0</v>
      </c>
      <c r="N72" s="16">
        <v>0</v>
      </c>
      <c r="O72" s="14">
        <v>0</v>
      </c>
      <c r="P72" s="16">
        <v>0</v>
      </c>
      <c r="Q72" s="14">
        <v>0</v>
      </c>
      <c r="R72" s="16">
        <v>0</v>
      </c>
      <c r="S72" s="14">
        <v>0</v>
      </c>
      <c r="T72" s="16">
        <v>0</v>
      </c>
    </row>
    <row r="73" spans="1:20" x14ac:dyDescent="0.25">
      <c r="A73" s="11" t="s">
        <v>206</v>
      </c>
      <c r="B73" s="13">
        <v>4652</v>
      </c>
      <c r="C73" s="14">
        <f>(3927/B73*100)</f>
        <v>84.41530524505589</v>
      </c>
      <c r="D73" s="15">
        <v>725</v>
      </c>
      <c r="E73" s="14">
        <v>45.817216999999999</v>
      </c>
      <c r="F73" s="16">
        <v>2.2147672900000002</v>
      </c>
      <c r="G73" s="14">
        <v>22.238989459999999</v>
      </c>
      <c r="H73" s="16">
        <v>1.6827708299999999</v>
      </c>
      <c r="I73" s="14">
        <v>31.943793540000001</v>
      </c>
      <c r="J73" s="16">
        <v>2.13868613</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(2524/B75*100)</f>
        <v>85.011788480970012</v>
      </c>
      <c r="D75" s="15">
        <v>445</v>
      </c>
      <c r="E75" s="14">
        <v>69.117544929999994</v>
      </c>
      <c r="F75" s="16">
        <v>2.4014657800000001</v>
      </c>
      <c r="G75" s="14">
        <v>11.70429403</v>
      </c>
      <c r="H75" s="16">
        <v>1.6391084600000001</v>
      </c>
      <c r="I75" s="14">
        <v>19.178161039999999</v>
      </c>
      <c r="J75" s="16">
        <v>1.82965913</v>
      </c>
      <c r="K75" s="14" t="s">
        <v>139</v>
      </c>
      <c r="L75" s="16" t="s">
        <v>139</v>
      </c>
      <c r="M75" s="14">
        <v>0</v>
      </c>
      <c r="N75" s="16">
        <v>0</v>
      </c>
      <c r="O75" s="14">
        <v>0</v>
      </c>
      <c r="P75" s="16">
        <v>0</v>
      </c>
      <c r="Q75" s="14">
        <v>0</v>
      </c>
      <c r="R75" s="16">
        <v>0</v>
      </c>
      <c r="S75" s="14">
        <v>0</v>
      </c>
      <c r="T75" s="16">
        <v>0</v>
      </c>
    </row>
    <row r="76" spans="1:20" x14ac:dyDescent="0.25">
      <c r="A76" s="11" t="s">
        <v>209</v>
      </c>
      <c r="B76" s="13">
        <v>7115</v>
      </c>
      <c r="C76" s="14">
        <f>(5913/B76*100)</f>
        <v>83.106113843991565</v>
      </c>
      <c r="D76" s="15">
        <v>1202</v>
      </c>
      <c r="E76" s="14">
        <v>43.915602280000002</v>
      </c>
      <c r="F76" s="16">
        <v>1.8886403199999999</v>
      </c>
      <c r="G76" s="14">
        <v>11.82453591</v>
      </c>
      <c r="H76" s="16">
        <v>1.21614603</v>
      </c>
      <c r="I76" s="14">
        <v>44.259861819999998</v>
      </c>
      <c r="J76" s="16">
        <v>1.74143859</v>
      </c>
      <c r="K76" s="14" t="s">
        <v>139</v>
      </c>
      <c r="L76" s="16" t="s">
        <v>139</v>
      </c>
      <c r="M76" s="14">
        <v>0</v>
      </c>
      <c r="N76" s="16">
        <v>0</v>
      </c>
      <c r="O76" s="14">
        <v>0</v>
      </c>
      <c r="P76" s="16">
        <v>0</v>
      </c>
      <c r="Q76" s="14">
        <v>0</v>
      </c>
      <c r="R76" s="16">
        <v>0</v>
      </c>
      <c r="S76" s="14">
        <v>0</v>
      </c>
      <c r="T76" s="16">
        <v>0</v>
      </c>
    </row>
    <row r="77" spans="1:20" x14ac:dyDescent="0.25">
      <c r="A77" s="11" t="s">
        <v>210</v>
      </c>
      <c r="B77" s="13">
        <v>3154</v>
      </c>
      <c r="C77" s="14">
        <f>(2638/B77*100)</f>
        <v>83.639822447685475</v>
      </c>
      <c r="D77" s="15">
        <v>516</v>
      </c>
      <c r="E77" s="14">
        <v>61.107308199999999</v>
      </c>
      <c r="F77" s="16">
        <v>2.3043219800000001</v>
      </c>
      <c r="G77" s="14">
        <v>15.460588680000001</v>
      </c>
      <c r="H77" s="16">
        <v>1.8434564899999999</v>
      </c>
      <c r="I77" s="14">
        <v>23.432103120000001</v>
      </c>
      <c r="J77" s="16">
        <v>1.90858693</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(3899/B81*100)</f>
        <v>82.992762877820354</v>
      </c>
      <c r="D81" s="15">
        <v>799</v>
      </c>
      <c r="E81" s="14">
        <v>36.867740670000003</v>
      </c>
      <c r="F81" s="16">
        <v>2.18945663</v>
      </c>
      <c r="G81" s="14">
        <v>6.3801447099999997</v>
      </c>
      <c r="H81" s="16">
        <v>0.93668260999999997</v>
      </c>
      <c r="I81" s="14">
        <v>56.75211462</v>
      </c>
      <c r="J81" s="16">
        <v>2.2144314700000001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336</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7163</v>
      </c>
      <c r="C7" s="14">
        <f>(5948/B7*100)</f>
        <v>83.037833310065608</v>
      </c>
      <c r="D7" s="15">
        <v>1215</v>
      </c>
      <c r="E7" s="14">
        <v>27.163466979999999</v>
      </c>
      <c r="F7" s="16">
        <v>1.5086552</v>
      </c>
      <c r="G7" s="14">
        <v>15.46248662</v>
      </c>
      <c r="H7" s="16">
        <v>1.16982107</v>
      </c>
      <c r="I7" s="14">
        <v>29.062896330000001</v>
      </c>
      <c r="J7" s="16">
        <v>1.4699032400000001</v>
      </c>
      <c r="K7" s="14">
        <v>28.31115007</v>
      </c>
      <c r="L7" s="16">
        <v>1.7631275500000001</v>
      </c>
      <c r="M7" s="14" t="s">
        <v>139</v>
      </c>
      <c r="N7" s="16" t="s">
        <v>139</v>
      </c>
      <c r="O7" s="14">
        <v>0</v>
      </c>
      <c r="P7" s="16">
        <v>0</v>
      </c>
      <c r="Q7" s="14">
        <v>0</v>
      </c>
      <c r="R7" s="16">
        <v>0</v>
      </c>
      <c r="S7" s="14">
        <v>0</v>
      </c>
      <c r="T7" s="16">
        <v>0</v>
      </c>
      <c r="U7" s="14">
        <v>0</v>
      </c>
      <c r="V7" s="16">
        <v>0</v>
      </c>
    </row>
    <row r="8" spans="1:22" x14ac:dyDescent="0.25">
      <c r="A8" s="11" t="s">
        <v>140</v>
      </c>
      <c r="B8" s="13">
        <v>3443</v>
      </c>
      <c r="C8" s="14">
        <f>(2835/B8*100)</f>
        <v>82.340981702004072</v>
      </c>
      <c r="D8" s="15">
        <v>608</v>
      </c>
      <c r="E8" s="14">
        <v>23.7292366</v>
      </c>
      <c r="F8" s="16">
        <v>1.7558176999999999</v>
      </c>
      <c r="G8" s="14">
        <v>20.426527180000001</v>
      </c>
      <c r="H8" s="16">
        <v>2.0246137700000002</v>
      </c>
      <c r="I8" s="14">
        <v>33.56322308</v>
      </c>
      <c r="J8" s="16">
        <v>2.1415804000000001</v>
      </c>
      <c r="K8" s="14">
        <v>22.281013139999999</v>
      </c>
      <c r="L8" s="16">
        <v>2.0684374399999998</v>
      </c>
      <c r="M8" s="14" t="s">
        <v>139</v>
      </c>
      <c r="N8" s="16" t="s">
        <v>139</v>
      </c>
      <c r="O8" s="14">
        <v>0</v>
      </c>
      <c r="P8" s="16">
        <v>0</v>
      </c>
      <c r="Q8" s="14">
        <v>0</v>
      </c>
      <c r="R8" s="16">
        <v>0</v>
      </c>
      <c r="S8" s="14">
        <v>0</v>
      </c>
      <c r="T8" s="16">
        <v>0</v>
      </c>
      <c r="U8" s="14">
        <v>0</v>
      </c>
      <c r="V8" s="16">
        <v>0</v>
      </c>
    </row>
    <row r="9" spans="1:22" x14ac:dyDescent="0.25">
      <c r="A9" s="11" t="s">
        <v>141</v>
      </c>
      <c r="B9" s="13">
        <v>4752</v>
      </c>
      <c r="C9" s="14">
        <f>(3984/B9*100)</f>
        <v>83.838383838383834</v>
      </c>
      <c r="D9" s="15">
        <v>768</v>
      </c>
      <c r="E9" s="14">
        <v>33.458219389999996</v>
      </c>
      <c r="F9" s="16">
        <v>1.74423942</v>
      </c>
      <c r="G9" s="14">
        <v>15.176468180000001</v>
      </c>
      <c r="H9" s="16">
        <v>1.2012247700000001</v>
      </c>
      <c r="I9" s="14">
        <v>34.306907279999997</v>
      </c>
      <c r="J9" s="16">
        <v>1.7595863</v>
      </c>
      <c r="K9" s="14">
        <v>17.058405149999999</v>
      </c>
      <c r="L9" s="16">
        <v>1.2885732999999999</v>
      </c>
      <c r="M9" s="14" t="s">
        <v>139</v>
      </c>
      <c r="N9" s="16" t="s">
        <v>139</v>
      </c>
      <c r="O9" s="14">
        <v>0</v>
      </c>
      <c r="P9" s="16">
        <v>0</v>
      </c>
      <c r="Q9" s="14">
        <v>0</v>
      </c>
      <c r="R9" s="16">
        <v>0</v>
      </c>
      <c r="S9" s="14">
        <v>0</v>
      </c>
      <c r="T9" s="16">
        <v>0</v>
      </c>
      <c r="U9" s="14">
        <v>0</v>
      </c>
      <c r="V9" s="16">
        <v>0</v>
      </c>
    </row>
    <row r="10" spans="1:22" x14ac:dyDescent="0.25">
      <c r="A10" s="11" t="s">
        <v>142</v>
      </c>
      <c r="B10" s="13">
        <v>10022</v>
      </c>
      <c r="C10" s="14">
        <f>(8323/B10*100)</f>
        <v>83.047295948912392</v>
      </c>
      <c r="D10" s="15">
        <v>1699</v>
      </c>
      <c r="E10" s="14">
        <v>24.639635550000001</v>
      </c>
      <c r="F10" s="16">
        <v>1.23157056</v>
      </c>
      <c r="G10" s="14">
        <v>15.94513903</v>
      </c>
      <c r="H10" s="16">
        <v>1.1453771800000001</v>
      </c>
      <c r="I10" s="14">
        <v>32.2968476</v>
      </c>
      <c r="J10" s="16">
        <v>1.7690276899999999</v>
      </c>
      <c r="K10" s="14">
        <v>27.118377819999999</v>
      </c>
      <c r="L10" s="16">
        <v>1.5295927300000001</v>
      </c>
      <c r="M10" s="14" t="s">
        <v>139</v>
      </c>
      <c r="N10" s="16" t="s">
        <v>139</v>
      </c>
      <c r="O10" s="14">
        <v>0</v>
      </c>
      <c r="P10" s="16">
        <v>0</v>
      </c>
      <c r="Q10" s="14">
        <v>0</v>
      </c>
      <c r="R10" s="16">
        <v>0</v>
      </c>
      <c r="S10" s="14">
        <v>0</v>
      </c>
      <c r="T10" s="16">
        <v>0</v>
      </c>
      <c r="U10" s="14">
        <v>0</v>
      </c>
      <c r="V10" s="16">
        <v>0</v>
      </c>
    </row>
    <row r="11" spans="1:22" x14ac:dyDescent="0.25">
      <c r="A11" s="11" t="s">
        <v>143</v>
      </c>
      <c r="B11" s="13">
        <v>3500</v>
      </c>
      <c r="C11" s="14">
        <f>(2915/B11*100)</f>
        <v>83.285714285714292</v>
      </c>
      <c r="D11" s="15">
        <v>585</v>
      </c>
      <c r="E11" s="14">
        <v>64.403481959999993</v>
      </c>
      <c r="F11" s="16">
        <v>2.20768545</v>
      </c>
      <c r="G11" s="14">
        <v>11.92683018</v>
      </c>
      <c r="H11" s="16">
        <v>1.6535651099999999</v>
      </c>
      <c r="I11" s="14">
        <v>14.635853620000001</v>
      </c>
      <c r="J11" s="16">
        <v>1.5231178599999999</v>
      </c>
      <c r="K11" s="14">
        <v>9.03383425</v>
      </c>
      <c r="L11" s="16">
        <v>1.25515102</v>
      </c>
      <c r="M11" s="14" t="s">
        <v>139</v>
      </c>
      <c r="N11" s="16" t="s">
        <v>139</v>
      </c>
      <c r="O11" s="14">
        <v>0</v>
      </c>
      <c r="P11" s="16">
        <v>0</v>
      </c>
      <c r="Q11" s="14">
        <v>0</v>
      </c>
      <c r="R11" s="16">
        <v>0</v>
      </c>
      <c r="S11" s="14">
        <v>0</v>
      </c>
      <c r="T11" s="16">
        <v>0</v>
      </c>
      <c r="U11" s="14">
        <v>0</v>
      </c>
      <c r="V11" s="16">
        <v>0</v>
      </c>
    </row>
    <row r="12" spans="1:22" x14ac:dyDescent="0.25">
      <c r="A12" s="11" t="s">
        <v>144</v>
      </c>
      <c r="B12" s="13">
        <v>3422</v>
      </c>
      <c r="C12" s="14">
        <f>(2874/B12*100)</f>
        <v>83.985973115137341</v>
      </c>
      <c r="D12" s="15">
        <v>548</v>
      </c>
      <c r="E12" s="14">
        <v>31.656340180000001</v>
      </c>
      <c r="F12" s="16">
        <v>1.9975824</v>
      </c>
      <c r="G12" s="14">
        <v>15.67342547</v>
      </c>
      <c r="H12" s="16">
        <v>1.55641685</v>
      </c>
      <c r="I12" s="14">
        <v>32.00099608</v>
      </c>
      <c r="J12" s="16">
        <v>2.1007699199999998</v>
      </c>
      <c r="K12" s="14">
        <v>20.669238270000001</v>
      </c>
      <c r="L12" s="16">
        <v>1.9302670500000001</v>
      </c>
      <c r="M12" s="14" t="s">
        <v>139</v>
      </c>
      <c r="N12" s="16" t="s">
        <v>139</v>
      </c>
      <c r="O12" s="14">
        <v>0</v>
      </c>
      <c r="P12" s="16">
        <v>0</v>
      </c>
      <c r="Q12" s="14">
        <v>0</v>
      </c>
      <c r="R12" s="16">
        <v>0</v>
      </c>
      <c r="S12" s="14">
        <v>0</v>
      </c>
      <c r="T12" s="16">
        <v>0</v>
      </c>
      <c r="U12" s="14">
        <v>0</v>
      </c>
      <c r="V12" s="16">
        <v>0</v>
      </c>
    </row>
    <row r="13" spans="1:22" x14ac:dyDescent="0.25">
      <c r="A13" s="11" t="s">
        <v>145</v>
      </c>
      <c r="B13" s="13">
        <v>3602</v>
      </c>
      <c r="C13" s="14">
        <f>(3009/B13*100)</f>
        <v>83.53692393114936</v>
      </c>
      <c r="D13" s="15">
        <v>593</v>
      </c>
      <c r="E13" s="14">
        <v>41.617433130000002</v>
      </c>
      <c r="F13" s="16">
        <v>2.7029960000000002</v>
      </c>
      <c r="G13" s="14">
        <v>19.643997670000001</v>
      </c>
      <c r="H13" s="16">
        <v>2.1164339399999998</v>
      </c>
      <c r="I13" s="14">
        <v>28.7781579</v>
      </c>
      <c r="J13" s="16">
        <v>2.1497739999999999</v>
      </c>
      <c r="K13" s="14">
        <v>9.9604112899999997</v>
      </c>
      <c r="L13" s="16">
        <v>1.3848700199999999</v>
      </c>
      <c r="M13" s="14" t="s">
        <v>139</v>
      </c>
      <c r="N13" s="16" t="s">
        <v>139</v>
      </c>
      <c r="O13" s="14">
        <v>0</v>
      </c>
      <c r="P13" s="16">
        <v>0</v>
      </c>
      <c r="Q13" s="14">
        <v>0</v>
      </c>
      <c r="R13" s="16">
        <v>0</v>
      </c>
      <c r="S13" s="14">
        <v>0</v>
      </c>
      <c r="T13" s="16">
        <v>0</v>
      </c>
      <c r="U13" s="14">
        <v>0</v>
      </c>
      <c r="V13" s="16">
        <v>0</v>
      </c>
    </row>
    <row r="14" spans="1:22" x14ac:dyDescent="0.25">
      <c r="A14" s="11" t="s">
        <v>146</v>
      </c>
      <c r="B14" s="13">
        <v>2788</v>
      </c>
      <c r="C14" s="14">
        <f>(2309/B14*100)</f>
        <v>82.819225251076048</v>
      </c>
      <c r="D14" s="15">
        <v>479</v>
      </c>
      <c r="E14" s="14">
        <v>21.507141359999999</v>
      </c>
      <c r="F14" s="16">
        <v>1.9738768600000001</v>
      </c>
      <c r="G14" s="14">
        <v>21.3530792</v>
      </c>
      <c r="H14" s="16">
        <v>2.1174175700000002</v>
      </c>
      <c r="I14" s="14">
        <v>35.019144140000002</v>
      </c>
      <c r="J14" s="16">
        <v>2.3779978399999999</v>
      </c>
      <c r="K14" s="14">
        <v>22.1206353</v>
      </c>
      <c r="L14" s="16">
        <v>1.74420167</v>
      </c>
      <c r="M14" s="14" t="s">
        <v>139</v>
      </c>
      <c r="N14" s="16" t="s">
        <v>139</v>
      </c>
      <c r="O14" s="14">
        <v>0</v>
      </c>
      <c r="P14" s="16">
        <v>0</v>
      </c>
      <c r="Q14" s="14">
        <v>0</v>
      </c>
      <c r="R14" s="16">
        <v>0</v>
      </c>
      <c r="S14" s="14">
        <v>0</v>
      </c>
      <c r="T14" s="16">
        <v>0</v>
      </c>
      <c r="U14" s="14">
        <v>0</v>
      </c>
      <c r="V14" s="16">
        <v>0</v>
      </c>
    </row>
    <row r="15" spans="1:22" x14ac:dyDescent="0.25">
      <c r="A15" s="11" t="s">
        <v>147</v>
      </c>
      <c r="B15" s="13">
        <v>2863</v>
      </c>
      <c r="C15" s="14">
        <f>(2367/B15*100)</f>
        <v>82.675515193852604</v>
      </c>
      <c r="D15" s="15">
        <v>496</v>
      </c>
      <c r="E15" s="14">
        <v>17.240018500000001</v>
      </c>
      <c r="F15" s="16">
        <v>1.87462587</v>
      </c>
      <c r="G15" s="14">
        <v>13.536968249999999</v>
      </c>
      <c r="H15" s="16">
        <v>1.5904593300000001</v>
      </c>
      <c r="I15" s="14">
        <v>27.714957219999999</v>
      </c>
      <c r="J15" s="16">
        <v>2.3142974700000001</v>
      </c>
      <c r="K15" s="14">
        <v>41.508056019999998</v>
      </c>
      <c r="L15" s="16">
        <v>2.64075294</v>
      </c>
      <c r="M15" s="14" t="s">
        <v>139</v>
      </c>
      <c r="N15" s="16" t="s">
        <v>139</v>
      </c>
      <c r="O15" s="14">
        <v>0</v>
      </c>
      <c r="P15" s="16">
        <v>0</v>
      </c>
      <c r="Q15" s="14">
        <v>0</v>
      </c>
      <c r="R15" s="16">
        <v>0</v>
      </c>
      <c r="S15" s="14">
        <v>0</v>
      </c>
      <c r="T15" s="16">
        <v>0</v>
      </c>
      <c r="U15" s="14">
        <v>0</v>
      </c>
      <c r="V15" s="16">
        <v>0</v>
      </c>
    </row>
    <row r="16" spans="1:22" x14ac:dyDescent="0.25">
      <c r="A16" s="11" t="s">
        <v>148</v>
      </c>
      <c r="B16" s="13">
        <v>3111</v>
      </c>
      <c r="C16" s="14">
        <f>(2573/B16*100)</f>
        <v>82.706525233044033</v>
      </c>
      <c r="D16" s="15">
        <v>538</v>
      </c>
      <c r="E16" s="14">
        <v>43.073274949999998</v>
      </c>
      <c r="F16" s="16">
        <v>2.2605501499999998</v>
      </c>
      <c r="G16" s="14">
        <v>13.767991309999999</v>
      </c>
      <c r="H16" s="16">
        <v>1.2638097500000001</v>
      </c>
      <c r="I16" s="14">
        <v>27.993428059999999</v>
      </c>
      <c r="J16" s="16">
        <v>1.8389494399999999</v>
      </c>
      <c r="K16" s="14">
        <v>15.165305679999999</v>
      </c>
      <c r="L16" s="16">
        <v>1.8162364499999999</v>
      </c>
      <c r="M16" s="14" t="s">
        <v>139</v>
      </c>
      <c r="N16" s="16" t="s">
        <v>139</v>
      </c>
      <c r="O16" s="14">
        <v>0</v>
      </c>
      <c r="P16" s="16">
        <v>0</v>
      </c>
      <c r="Q16" s="14">
        <v>0</v>
      </c>
      <c r="R16" s="16">
        <v>0</v>
      </c>
      <c r="S16" s="14">
        <v>0</v>
      </c>
      <c r="T16" s="16">
        <v>0</v>
      </c>
      <c r="U16" s="14">
        <v>0</v>
      </c>
      <c r="V16" s="16">
        <v>0</v>
      </c>
    </row>
    <row r="17" spans="1:22" x14ac:dyDescent="0.25">
      <c r="A17" s="11" t="s">
        <v>149</v>
      </c>
      <c r="B17" s="13">
        <v>3197</v>
      </c>
      <c r="C17" s="14">
        <f>(2627/B17*100)</f>
        <v>82.170785111041596</v>
      </c>
      <c r="D17" s="15">
        <v>570</v>
      </c>
      <c r="E17" s="14">
        <v>20.531089999999999</v>
      </c>
      <c r="F17" s="16">
        <v>2.0188756400000001</v>
      </c>
      <c r="G17" s="14">
        <v>19.563138259999999</v>
      </c>
      <c r="H17" s="16">
        <v>1.5303631200000001</v>
      </c>
      <c r="I17" s="14">
        <v>37.660086339999999</v>
      </c>
      <c r="J17" s="16">
        <v>2.2223356500000002</v>
      </c>
      <c r="K17" s="14">
        <v>22.245685399999999</v>
      </c>
      <c r="L17" s="16">
        <v>1.75964459</v>
      </c>
      <c r="M17" s="14" t="s">
        <v>139</v>
      </c>
      <c r="N17" s="16" t="s">
        <v>139</v>
      </c>
      <c r="O17" s="14">
        <v>0</v>
      </c>
      <c r="P17" s="16">
        <v>0</v>
      </c>
      <c r="Q17" s="14">
        <v>0</v>
      </c>
      <c r="R17" s="16">
        <v>0</v>
      </c>
      <c r="S17" s="14">
        <v>0</v>
      </c>
      <c r="T17" s="16">
        <v>0</v>
      </c>
      <c r="U17" s="14">
        <v>0</v>
      </c>
      <c r="V17" s="16">
        <v>0</v>
      </c>
    </row>
    <row r="18" spans="1:22" x14ac:dyDescent="0.25">
      <c r="A18" s="11" t="s">
        <v>150</v>
      </c>
      <c r="B18" s="13">
        <v>2706</v>
      </c>
      <c r="C18" s="14">
        <f>(2237/B18*100)</f>
        <v>82.668144863266818</v>
      </c>
      <c r="D18" s="15">
        <v>469</v>
      </c>
      <c r="E18" s="14">
        <v>39.466135800000004</v>
      </c>
      <c r="F18" s="16">
        <v>2.7599754600000002</v>
      </c>
      <c r="G18" s="14">
        <v>16.73126912</v>
      </c>
      <c r="H18" s="16">
        <v>1.49538908</v>
      </c>
      <c r="I18" s="14">
        <v>28.069375099999998</v>
      </c>
      <c r="J18" s="16">
        <v>1.9873158799999999</v>
      </c>
      <c r="K18" s="14">
        <v>15.733219979999999</v>
      </c>
      <c r="L18" s="16">
        <v>1.7623753</v>
      </c>
      <c r="M18" s="14" t="s">
        <v>139</v>
      </c>
      <c r="N18" s="16" t="s">
        <v>139</v>
      </c>
      <c r="O18" s="14">
        <v>0</v>
      </c>
      <c r="P18" s="16">
        <v>0</v>
      </c>
      <c r="Q18" s="14">
        <v>0</v>
      </c>
      <c r="R18" s="16">
        <v>0</v>
      </c>
      <c r="S18" s="14">
        <v>0</v>
      </c>
      <c r="T18" s="16">
        <v>0</v>
      </c>
      <c r="U18" s="14">
        <v>0</v>
      </c>
      <c r="V18" s="16">
        <v>0</v>
      </c>
    </row>
    <row r="19" spans="1:22" x14ac:dyDescent="0.25">
      <c r="A19" s="11" t="s">
        <v>151</v>
      </c>
      <c r="B19" s="13">
        <v>2850</v>
      </c>
      <c r="C19" s="14">
        <f>(2377/B19*100)</f>
        <v>83.403508771929822</v>
      </c>
      <c r="D19" s="15">
        <v>473</v>
      </c>
      <c r="E19" s="14">
        <v>29.44094041</v>
      </c>
      <c r="F19" s="16">
        <v>2.1368738299999999</v>
      </c>
      <c r="G19" s="14">
        <v>17.576227750000001</v>
      </c>
      <c r="H19" s="16">
        <v>1.72934319</v>
      </c>
      <c r="I19" s="14">
        <v>30.394478370000002</v>
      </c>
      <c r="J19" s="16">
        <v>1.9319870699999999</v>
      </c>
      <c r="K19" s="14">
        <v>22.588353470000001</v>
      </c>
      <c r="L19" s="16">
        <v>2.0908344699999999</v>
      </c>
      <c r="M19" s="14" t="s">
        <v>139</v>
      </c>
      <c r="N19" s="16" t="s">
        <v>139</v>
      </c>
      <c r="O19" s="14">
        <v>0</v>
      </c>
      <c r="P19" s="16">
        <v>0</v>
      </c>
      <c r="Q19" s="14">
        <v>0</v>
      </c>
      <c r="R19" s="16">
        <v>0</v>
      </c>
      <c r="S19" s="14">
        <v>0</v>
      </c>
      <c r="T19" s="16">
        <v>0</v>
      </c>
      <c r="U19" s="14">
        <v>0</v>
      </c>
      <c r="V19" s="16">
        <v>0</v>
      </c>
    </row>
    <row r="20" spans="1:22" x14ac:dyDescent="0.25">
      <c r="A20" s="11" t="s">
        <v>152</v>
      </c>
      <c r="B20" s="13">
        <v>1741</v>
      </c>
      <c r="C20" s="14">
        <f>(1443/B20*100)</f>
        <v>82.883400344629521</v>
      </c>
      <c r="D20" s="15">
        <v>298</v>
      </c>
      <c r="E20" s="14">
        <v>44.323541140000003</v>
      </c>
      <c r="F20" s="16">
        <v>3.0281045400000002</v>
      </c>
      <c r="G20" s="14">
        <v>12.90749903</v>
      </c>
      <c r="H20" s="16">
        <v>2.1021614300000002</v>
      </c>
      <c r="I20" s="14">
        <v>26.855757789999998</v>
      </c>
      <c r="J20" s="16">
        <v>2.7445904799999998</v>
      </c>
      <c r="K20" s="14">
        <v>15.913202050000001</v>
      </c>
      <c r="L20" s="16">
        <v>1.98725288</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3667</v>
      </c>
      <c r="C22" s="14">
        <f>(3138/B22*100)</f>
        <v>85.574038723752395</v>
      </c>
      <c r="D22" s="15">
        <v>529</v>
      </c>
      <c r="E22" s="14">
        <v>35.890912620000002</v>
      </c>
      <c r="F22" s="16">
        <v>2.1782788399999999</v>
      </c>
      <c r="G22" s="14">
        <v>15.44241811</v>
      </c>
      <c r="H22" s="16">
        <v>1.66702218</v>
      </c>
      <c r="I22" s="14">
        <v>33.712021180000001</v>
      </c>
      <c r="J22" s="16">
        <v>1.80621254</v>
      </c>
      <c r="K22" s="14">
        <v>14.95464808</v>
      </c>
      <c r="L22" s="16">
        <v>1.7747932399999999</v>
      </c>
      <c r="M22" s="14" t="s">
        <v>139</v>
      </c>
      <c r="N22" s="16" t="s">
        <v>139</v>
      </c>
      <c r="O22" s="14">
        <v>0</v>
      </c>
      <c r="P22" s="16">
        <v>0</v>
      </c>
      <c r="Q22" s="14">
        <v>0</v>
      </c>
      <c r="R22" s="16">
        <v>0</v>
      </c>
      <c r="S22" s="14">
        <v>0</v>
      </c>
      <c r="T22" s="16">
        <v>0</v>
      </c>
      <c r="U22" s="14">
        <v>0</v>
      </c>
      <c r="V22" s="16">
        <v>0</v>
      </c>
    </row>
    <row r="23" spans="1:22" x14ac:dyDescent="0.25">
      <c r="A23" s="11" t="s">
        <v>156</v>
      </c>
      <c r="B23" s="13">
        <v>5792</v>
      </c>
      <c r="C23" s="14">
        <f>(4803/B23*100)</f>
        <v>82.924723756906076</v>
      </c>
      <c r="D23" s="15">
        <v>989</v>
      </c>
      <c r="E23" s="14">
        <v>34.245415989999998</v>
      </c>
      <c r="F23" s="16">
        <v>2.4286968999999998</v>
      </c>
      <c r="G23" s="14">
        <v>17.629874210000001</v>
      </c>
      <c r="H23" s="16">
        <v>1.6879855699999999</v>
      </c>
      <c r="I23" s="14">
        <v>29.344220159999999</v>
      </c>
      <c r="J23" s="16">
        <v>2.0492420400000002</v>
      </c>
      <c r="K23" s="14">
        <v>18.780489630000002</v>
      </c>
      <c r="L23" s="16">
        <v>2.23443923</v>
      </c>
      <c r="M23" s="14" t="s">
        <v>139</v>
      </c>
      <c r="N23" s="16" t="s">
        <v>139</v>
      </c>
      <c r="O23" s="14">
        <v>0</v>
      </c>
      <c r="P23" s="16">
        <v>0</v>
      </c>
      <c r="Q23" s="14">
        <v>0</v>
      </c>
      <c r="R23" s="16">
        <v>0</v>
      </c>
      <c r="S23" s="14">
        <v>0</v>
      </c>
      <c r="T23" s="16">
        <v>0</v>
      </c>
      <c r="U23" s="14">
        <v>0</v>
      </c>
      <c r="V23" s="16">
        <v>0</v>
      </c>
    </row>
    <row r="24" spans="1:22" x14ac:dyDescent="0.25">
      <c r="A24" s="11" t="s">
        <v>157</v>
      </c>
      <c r="B24" s="13">
        <v>3309</v>
      </c>
      <c r="C24" s="14">
        <f>(2724/B24*100)</f>
        <v>82.320942883046229</v>
      </c>
      <c r="D24" s="15">
        <v>585</v>
      </c>
      <c r="E24" s="14">
        <v>12.67404962</v>
      </c>
      <c r="F24" s="16">
        <v>1.63361267</v>
      </c>
      <c r="G24" s="14">
        <v>15.437280299999999</v>
      </c>
      <c r="H24" s="16">
        <v>1.4258450899999999</v>
      </c>
      <c r="I24" s="14">
        <v>25.516950300000001</v>
      </c>
      <c r="J24" s="16">
        <v>1.81555559</v>
      </c>
      <c r="K24" s="14">
        <v>46.37171979</v>
      </c>
      <c r="L24" s="16">
        <v>1.81671095</v>
      </c>
      <c r="M24" s="14" t="s">
        <v>139</v>
      </c>
      <c r="N24" s="16" t="s">
        <v>139</v>
      </c>
      <c r="O24" s="14">
        <v>0</v>
      </c>
      <c r="P24" s="16">
        <v>0</v>
      </c>
      <c r="Q24" s="14">
        <v>0</v>
      </c>
      <c r="R24" s="16">
        <v>0</v>
      </c>
      <c r="S24" s="14">
        <v>0</v>
      </c>
      <c r="T24" s="16">
        <v>0</v>
      </c>
      <c r="U24" s="14">
        <v>0</v>
      </c>
      <c r="V24" s="16">
        <v>0</v>
      </c>
    </row>
    <row r="25" spans="1:22" x14ac:dyDescent="0.25">
      <c r="A25" s="11" t="s">
        <v>158</v>
      </c>
      <c r="B25" s="13">
        <v>2669</v>
      </c>
      <c r="C25" s="14">
        <f>(2206/B25*100)</f>
        <v>82.652678905957288</v>
      </c>
      <c r="D25" s="15">
        <v>463</v>
      </c>
      <c r="E25" s="14">
        <v>12.550172699999999</v>
      </c>
      <c r="F25" s="16">
        <v>1.3252174800000001</v>
      </c>
      <c r="G25" s="14">
        <v>13.032647949999999</v>
      </c>
      <c r="H25" s="16">
        <v>1.6923750900000001</v>
      </c>
      <c r="I25" s="14">
        <v>48.65338474</v>
      </c>
      <c r="J25" s="16">
        <v>1.93902895</v>
      </c>
      <c r="K25" s="14">
        <v>25.763794610000001</v>
      </c>
      <c r="L25" s="16">
        <v>1.86182325</v>
      </c>
      <c r="M25" s="14" t="s">
        <v>139</v>
      </c>
      <c r="N25" s="16" t="s">
        <v>139</v>
      </c>
      <c r="O25" s="14">
        <v>0</v>
      </c>
      <c r="P25" s="16">
        <v>0</v>
      </c>
      <c r="Q25" s="14">
        <v>0</v>
      </c>
      <c r="R25" s="16">
        <v>0</v>
      </c>
      <c r="S25" s="14">
        <v>0</v>
      </c>
      <c r="T25" s="16">
        <v>0</v>
      </c>
      <c r="U25" s="14">
        <v>0</v>
      </c>
      <c r="V25" s="16">
        <v>0</v>
      </c>
    </row>
    <row r="26" spans="1:22" x14ac:dyDescent="0.25">
      <c r="A26" s="11" t="s">
        <v>159</v>
      </c>
      <c r="B26" s="13">
        <v>2419</v>
      </c>
      <c r="C26" s="14">
        <f>(1994/B26*100)</f>
        <v>82.430756510954936</v>
      </c>
      <c r="D26" s="15">
        <v>425</v>
      </c>
      <c r="E26" s="14">
        <v>33.638061110000002</v>
      </c>
      <c r="F26" s="16">
        <v>2.4792947999999999</v>
      </c>
      <c r="G26" s="14">
        <v>12.75872757</v>
      </c>
      <c r="H26" s="16">
        <v>1.4593708700000001</v>
      </c>
      <c r="I26" s="14">
        <v>26.91812693</v>
      </c>
      <c r="J26" s="16">
        <v>2.0949289699999998</v>
      </c>
      <c r="K26" s="14">
        <v>26.68508439</v>
      </c>
      <c r="L26" s="16">
        <v>2.0739232300000001</v>
      </c>
      <c r="M26" s="14" t="s">
        <v>139</v>
      </c>
      <c r="N26" s="16" t="s">
        <v>139</v>
      </c>
      <c r="O26" s="14">
        <v>0</v>
      </c>
      <c r="P26" s="16">
        <v>0</v>
      </c>
      <c r="Q26" s="14">
        <v>0</v>
      </c>
      <c r="R26" s="16">
        <v>0</v>
      </c>
      <c r="S26" s="14">
        <v>0</v>
      </c>
      <c r="T26" s="16">
        <v>0</v>
      </c>
      <c r="U26" s="14">
        <v>0</v>
      </c>
      <c r="V26" s="16">
        <v>0</v>
      </c>
    </row>
    <row r="27" spans="1:22" x14ac:dyDescent="0.25">
      <c r="A27" s="11" t="s">
        <v>160</v>
      </c>
      <c r="B27" s="13">
        <v>2683</v>
      </c>
      <c r="C27" s="14">
        <f>(2228/B27*100)</f>
        <v>83.041371598956388</v>
      </c>
      <c r="D27" s="15">
        <v>455</v>
      </c>
      <c r="E27" s="14">
        <v>34.410084509999997</v>
      </c>
      <c r="F27" s="16">
        <v>2.1557194599999998</v>
      </c>
      <c r="G27" s="14">
        <v>19.512218659999998</v>
      </c>
      <c r="H27" s="16">
        <v>1.7583145499999999</v>
      </c>
      <c r="I27" s="14">
        <v>30.764525370000001</v>
      </c>
      <c r="J27" s="16">
        <v>1.9482030400000001</v>
      </c>
      <c r="K27" s="14">
        <v>15.31317145</v>
      </c>
      <c r="L27" s="16">
        <v>1.57098621</v>
      </c>
      <c r="M27" s="14" t="s">
        <v>139</v>
      </c>
      <c r="N27" s="16" t="s">
        <v>139</v>
      </c>
      <c r="O27" s="14">
        <v>0</v>
      </c>
      <c r="P27" s="16">
        <v>0</v>
      </c>
      <c r="Q27" s="14">
        <v>0</v>
      </c>
      <c r="R27" s="16">
        <v>0</v>
      </c>
      <c r="S27" s="14">
        <v>0</v>
      </c>
      <c r="T27" s="16">
        <v>0</v>
      </c>
      <c r="U27" s="14">
        <v>0</v>
      </c>
      <c r="V27" s="16">
        <v>0</v>
      </c>
    </row>
    <row r="28" spans="1:22" x14ac:dyDescent="0.25">
      <c r="A28" s="11" t="s">
        <v>161</v>
      </c>
      <c r="B28" s="13">
        <v>3803</v>
      </c>
      <c r="C28" s="14">
        <f>(3209/B28*100)</f>
        <v>84.380752037864852</v>
      </c>
      <c r="D28" s="15">
        <v>594</v>
      </c>
      <c r="E28" s="14">
        <v>55.273924890000004</v>
      </c>
      <c r="F28" s="16">
        <v>2.1674514</v>
      </c>
      <c r="G28" s="14">
        <v>10.976966170000001</v>
      </c>
      <c r="H28" s="16">
        <v>1.44301872</v>
      </c>
      <c r="I28" s="14">
        <v>27.104857160000002</v>
      </c>
      <c r="J28" s="16">
        <v>1.9306238600000001</v>
      </c>
      <c r="K28" s="14">
        <v>6.6442517900000002</v>
      </c>
      <c r="L28" s="16">
        <v>1.2239967599999999</v>
      </c>
      <c r="M28" s="14" t="s">
        <v>139</v>
      </c>
      <c r="N28" s="16" t="s">
        <v>139</v>
      </c>
      <c r="O28" s="14">
        <v>0</v>
      </c>
      <c r="P28" s="16">
        <v>0</v>
      </c>
      <c r="Q28" s="14">
        <v>0</v>
      </c>
      <c r="R28" s="16">
        <v>0</v>
      </c>
      <c r="S28" s="14">
        <v>0</v>
      </c>
      <c r="T28" s="16">
        <v>0</v>
      </c>
      <c r="U28" s="14">
        <v>0</v>
      </c>
      <c r="V28" s="16">
        <v>0</v>
      </c>
    </row>
    <row r="29" spans="1:22" x14ac:dyDescent="0.25">
      <c r="A29" s="11" t="s">
        <v>162</v>
      </c>
      <c r="B29" s="13">
        <v>2700</v>
      </c>
      <c r="C29" s="14">
        <f>(2265/B29*100)</f>
        <v>83.888888888888886</v>
      </c>
      <c r="D29" s="15">
        <v>435</v>
      </c>
      <c r="E29" s="14">
        <v>16.017284610000001</v>
      </c>
      <c r="F29" s="16">
        <v>1.86975147</v>
      </c>
      <c r="G29" s="14">
        <v>17.908168910000001</v>
      </c>
      <c r="H29" s="16">
        <v>1.80499659</v>
      </c>
      <c r="I29" s="14">
        <v>45.484132359999997</v>
      </c>
      <c r="J29" s="16">
        <v>2.5679027699999999</v>
      </c>
      <c r="K29" s="14">
        <v>20.590414110000001</v>
      </c>
      <c r="L29" s="16">
        <v>2.1871654999999999</v>
      </c>
      <c r="M29" s="14" t="s">
        <v>139</v>
      </c>
      <c r="N29" s="16" t="s">
        <v>139</v>
      </c>
      <c r="O29" s="14">
        <v>0</v>
      </c>
      <c r="P29" s="16">
        <v>0</v>
      </c>
      <c r="Q29" s="14">
        <v>0</v>
      </c>
      <c r="R29" s="16">
        <v>0</v>
      </c>
      <c r="S29" s="14">
        <v>0</v>
      </c>
      <c r="T29" s="16">
        <v>0</v>
      </c>
      <c r="U29" s="14">
        <v>0</v>
      </c>
      <c r="V29" s="16">
        <v>0</v>
      </c>
    </row>
    <row r="30" spans="1:22" x14ac:dyDescent="0.25">
      <c r="A30" s="11" t="s">
        <v>163</v>
      </c>
      <c r="B30" s="13">
        <v>2257</v>
      </c>
      <c r="C30" s="14">
        <f>(1911/B30*100)</f>
        <v>84.669915817456797</v>
      </c>
      <c r="D30" s="15">
        <v>346</v>
      </c>
      <c r="E30" s="14">
        <v>27.725130969999999</v>
      </c>
      <c r="F30" s="16">
        <v>2.30629828</v>
      </c>
      <c r="G30" s="14">
        <v>14.944145089999999</v>
      </c>
      <c r="H30" s="16">
        <v>2.2519453700000001</v>
      </c>
      <c r="I30" s="14">
        <v>31.188525250000001</v>
      </c>
      <c r="J30" s="16">
        <v>2.4080788900000001</v>
      </c>
      <c r="K30" s="14">
        <v>26.142198690000001</v>
      </c>
      <c r="L30" s="16">
        <v>2.3726131000000001</v>
      </c>
      <c r="M30" s="14" t="s">
        <v>139</v>
      </c>
      <c r="N30" s="16" t="s">
        <v>139</v>
      </c>
      <c r="O30" s="14">
        <v>0</v>
      </c>
      <c r="P30" s="16">
        <v>0</v>
      </c>
      <c r="Q30" s="14">
        <v>0</v>
      </c>
      <c r="R30" s="16">
        <v>0</v>
      </c>
      <c r="S30" s="14">
        <v>0</v>
      </c>
      <c r="T30" s="16">
        <v>0</v>
      </c>
      <c r="U30" s="14">
        <v>0</v>
      </c>
      <c r="V30" s="16">
        <v>0</v>
      </c>
    </row>
    <row r="31" spans="1:22" x14ac:dyDescent="0.25">
      <c r="A31" s="11" t="s">
        <v>164</v>
      </c>
      <c r="B31" s="13">
        <v>2706</v>
      </c>
      <c r="C31" s="14">
        <f>(2247/B31*100)</f>
        <v>83.037694013303764</v>
      </c>
      <c r="D31" s="15">
        <v>459</v>
      </c>
      <c r="E31" s="14">
        <v>28.985232509999999</v>
      </c>
      <c r="F31" s="16">
        <v>2.4568929900000001</v>
      </c>
      <c r="G31" s="14">
        <v>19.025831920000002</v>
      </c>
      <c r="H31" s="16">
        <v>1.7797409900000001</v>
      </c>
      <c r="I31" s="14">
        <v>27.18146711</v>
      </c>
      <c r="J31" s="16">
        <v>2.1625870300000001</v>
      </c>
      <c r="K31" s="14">
        <v>24.807468459999999</v>
      </c>
      <c r="L31" s="16">
        <v>2.1668727799999998</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3651</v>
      </c>
      <c r="C33" s="14">
        <f>(3051/B33*100)</f>
        <v>83.566146261298286</v>
      </c>
      <c r="D33" s="15">
        <v>600</v>
      </c>
      <c r="E33" s="14">
        <v>37.385472239999999</v>
      </c>
      <c r="F33" s="16">
        <v>1.9516277900000001</v>
      </c>
      <c r="G33" s="14">
        <v>17.485123359999999</v>
      </c>
      <c r="H33" s="16">
        <v>1.7607030699999999</v>
      </c>
      <c r="I33" s="14">
        <v>28.200247109999999</v>
      </c>
      <c r="J33" s="16">
        <v>1.9144340200000001</v>
      </c>
      <c r="K33" s="14">
        <v>16.929157289999999</v>
      </c>
      <c r="L33" s="16">
        <v>1.7841124500000001</v>
      </c>
      <c r="M33" s="14" t="s">
        <v>139</v>
      </c>
      <c r="N33" s="16" t="s">
        <v>139</v>
      </c>
      <c r="O33" s="14">
        <v>0</v>
      </c>
      <c r="P33" s="16">
        <v>0</v>
      </c>
      <c r="Q33" s="14">
        <v>0</v>
      </c>
      <c r="R33" s="16">
        <v>0</v>
      </c>
      <c r="S33" s="14">
        <v>0</v>
      </c>
      <c r="T33" s="16">
        <v>0</v>
      </c>
      <c r="U33" s="14">
        <v>0</v>
      </c>
      <c r="V33" s="16">
        <v>0</v>
      </c>
    </row>
    <row r="34" spans="1:22" x14ac:dyDescent="0.25">
      <c r="A34" s="11" t="s">
        <v>167</v>
      </c>
      <c r="B34" s="13">
        <v>3035</v>
      </c>
      <c r="C34" s="14">
        <f>(2544/B34*100)</f>
        <v>83.82207578253707</v>
      </c>
      <c r="D34" s="15">
        <v>491</v>
      </c>
      <c r="E34" s="14">
        <v>44.967388970000002</v>
      </c>
      <c r="F34" s="16">
        <v>2.0444924100000001</v>
      </c>
      <c r="G34" s="14">
        <v>16.473747450000001</v>
      </c>
      <c r="H34" s="16">
        <v>1.39746043</v>
      </c>
      <c r="I34" s="14">
        <v>22.034792289999999</v>
      </c>
      <c r="J34" s="16">
        <v>1.9294697000000001</v>
      </c>
      <c r="K34" s="14">
        <v>16.524071299999999</v>
      </c>
      <c r="L34" s="16">
        <v>1.6040542099999999</v>
      </c>
      <c r="M34" s="14" t="s">
        <v>139</v>
      </c>
      <c r="N34" s="16" t="s">
        <v>139</v>
      </c>
      <c r="O34" s="14">
        <v>0</v>
      </c>
      <c r="P34" s="16">
        <v>0</v>
      </c>
      <c r="Q34" s="14">
        <v>0</v>
      </c>
      <c r="R34" s="16">
        <v>0</v>
      </c>
      <c r="S34" s="14">
        <v>0</v>
      </c>
      <c r="T34" s="16">
        <v>0</v>
      </c>
      <c r="U34" s="14">
        <v>0</v>
      </c>
      <c r="V34" s="16">
        <v>0</v>
      </c>
    </row>
    <row r="35" spans="1:22" x14ac:dyDescent="0.25">
      <c r="A35" s="11" t="s">
        <v>168</v>
      </c>
      <c r="B35" s="13">
        <v>2901</v>
      </c>
      <c r="C35" s="14">
        <f>(2422/B35*100)</f>
        <v>83.488452257842127</v>
      </c>
      <c r="D35" s="15">
        <v>479</v>
      </c>
      <c r="E35" s="14">
        <v>28.04302122</v>
      </c>
      <c r="F35" s="16">
        <v>2.3334093299999998</v>
      </c>
      <c r="G35" s="14">
        <v>16.97364116</v>
      </c>
      <c r="H35" s="16">
        <v>2.0521154199999998</v>
      </c>
      <c r="I35" s="14">
        <v>39.806945470000002</v>
      </c>
      <c r="J35" s="16">
        <v>2.2932750799999999</v>
      </c>
      <c r="K35" s="14">
        <v>15.17639215</v>
      </c>
      <c r="L35" s="16">
        <v>2.0688357100000001</v>
      </c>
      <c r="M35" s="14" t="s">
        <v>139</v>
      </c>
      <c r="N35" s="16" t="s">
        <v>139</v>
      </c>
      <c r="O35" s="14">
        <v>0</v>
      </c>
      <c r="P35" s="16">
        <v>0</v>
      </c>
      <c r="Q35" s="14">
        <v>0</v>
      </c>
      <c r="R35" s="16">
        <v>0</v>
      </c>
      <c r="S35" s="14">
        <v>0</v>
      </c>
      <c r="T35" s="16">
        <v>0</v>
      </c>
      <c r="U35" s="14">
        <v>0</v>
      </c>
      <c r="V35" s="16">
        <v>0</v>
      </c>
    </row>
    <row r="36" spans="1:22" x14ac:dyDescent="0.25">
      <c r="A36" s="11" t="s">
        <v>169</v>
      </c>
      <c r="B36" s="13">
        <v>3404</v>
      </c>
      <c r="C36" s="14">
        <f>(2843/B36*100)</f>
        <v>83.519388954171561</v>
      </c>
      <c r="D36" s="15">
        <v>561</v>
      </c>
      <c r="E36" s="14">
        <v>44.471396929999997</v>
      </c>
      <c r="F36" s="16">
        <v>2.0594911599999999</v>
      </c>
      <c r="G36" s="14">
        <v>11.77105192</v>
      </c>
      <c r="H36" s="16">
        <v>1.4516770800000001</v>
      </c>
      <c r="I36" s="14">
        <v>25.118304699999999</v>
      </c>
      <c r="J36" s="16">
        <v>1.9270373000000001</v>
      </c>
      <c r="K36" s="14">
        <v>18.639246450000002</v>
      </c>
      <c r="L36" s="16">
        <v>1.7863526300000001</v>
      </c>
      <c r="M36" s="14" t="s">
        <v>139</v>
      </c>
      <c r="N36" s="16" t="s">
        <v>139</v>
      </c>
      <c r="O36" s="14">
        <v>0</v>
      </c>
      <c r="P36" s="16">
        <v>0</v>
      </c>
      <c r="Q36" s="14">
        <v>0</v>
      </c>
      <c r="R36" s="16">
        <v>0</v>
      </c>
      <c r="S36" s="14">
        <v>0</v>
      </c>
      <c r="T36" s="16">
        <v>0</v>
      </c>
      <c r="U36" s="14">
        <v>0</v>
      </c>
      <c r="V36" s="16">
        <v>0</v>
      </c>
    </row>
    <row r="37" spans="1:22" x14ac:dyDescent="0.25">
      <c r="A37" s="11" t="s">
        <v>170</v>
      </c>
      <c r="B37" s="13">
        <v>2731</v>
      </c>
      <c r="C37" s="14">
        <f>(2280/B37*100)</f>
        <v>83.485902599780303</v>
      </c>
      <c r="D37" s="15">
        <v>451</v>
      </c>
      <c r="E37" s="14">
        <v>20.701304289999999</v>
      </c>
      <c r="F37" s="16">
        <v>2.0188808800000002</v>
      </c>
      <c r="G37" s="14">
        <v>17.446324310000001</v>
      </c>
      <c r="H37" s="16">
        <v>1.6713363999999999</v>
      </c>
      <c r="I37" s="14">
        <v>44.181625029999999</v>
      </c>
      <c r="J37" s="16">
        <v>2.1995366199999999</v>
      </c>
      <c r="K37" s="14">
        <v>17.670746380000001</v>
      </c>
      <c r="L37" s="16">
        <v>1.9716409500000001</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2938</v>
      </c>
      <c r="C39" s="14">
        <f>(2414/B39*100)</f>
        <v>82.164737916950301</v>
      </c>
      <c r="D39" s="15">
        <v>524</v>
      </c>
      <c r="E39" s="14">
        <v>47.680493740000003</v>
      </c>
      <c r="F39" s="16">
        <v>1.9907175399999999</v>
      </c>
      <c r="G39" s="14">
        <v>7.7007803700000004</v>
      </c>
      <c r="H39" s="16">
        <v>1.1544302900000001</v>
      </c>
      <c r="I39" s="14">
        <v>20.17055027</v>
      </c>
      <c r="J39" s="16">
        <v>1.972275</v>
      </c>
      <c r="K39" s="14">
        <v>24.448175620000001</v>
      </c>
      <c r="L39" s="16">
        <v>2.2141839000000001</v>
      </c>
      <c r="M39" s="14" t="s">
        <v>139</v>
      </c>
      <c r="N39" s="16" t="s">
        <v>139</v>
      </c>
      <c r="O39" s="14">
        <v>0</v>
      </c>
      <c r="P39" s="16">
        <v>0</v>
      </c>
      <c r="Q39" s="14">
        <v>0</v>
      </c>
      <c r="R39" s="16">
        <v>0</v>
      </c>
      <c r="S39" s="14">
        <v>0</v>
      </c>
      <c r="T39" s="16">
        <v>0</v>
      </c>
      <c r="U39" s="14">
        <v>0</v>
      </c>
      <c r="V39" s="16">
        <v>0</v>
      </c>
    </row>
    <row r="40" spans="1:22" x14ac:dyDescent="0.25">
      <c r="A40" s="11" t="s">
        <v>173</v>
      </c>
      <c r="B40" s="13">
        <v>6922</v>
      </c>
      <c r="C40" s="14">
        <f>(5740/B40*100)</f>
        <v>82.924010401618034</v>
      </c>
      <c r="D40" s="15">
        <v>1182</v>
      </c>
      <c r="E40" s="14">
        <v>29.387966169999999</v>
      </c>
      <c r="F40" s="16">
        <v>2.0513420199999999</v>
      </c>
      <c r="G40" s="14">
        <v>17.528767389999999</v>
      </c>
      <c r="H40" s="16">
        <v>1.6471816800000001</v>
      </c>
      <c r="I40" s="14">
        <v>32.922181780000003</v>
      </c>
      <c r="J40" s="16">
        <v>2.0535503300000002</v>
      </c>
      <c r="K40" s="14">
        <v>20.16108466</v>
      </c>
      <c r="L40" s="16">
        <v>1.8068731600000001</v>
      </c>
      <c r="M40" s="14" t="s">
        <v>139</v>
      </c>
      <c r="N40" s="16" t="s">
        <v>139</v>
      </c>
      <c r="O40" s="14">
        <v>0</v>
      </c>
      <c r="P40" s="16">
        <v>0</v>
      </c>
      <c r="Q40" s="14">
        <v>0</v>
      </c>
      <c r="R40" s="16">
        <v>0</v>
      </c>
      <c r="S40" s="14">
        <v>0</v>
      </c>
      <c r="T40" s="16">
        <v>0</v>
      </c>
      <c r="U40" s="14">
        <v>0</v>
      </c>
      <c r="V40" s="16">
        <v>0</v>
      </c>
    </row>
    <row r="41" spans="1:22" x14ac:dyDescent="0.25">
      <c r="A41" s="11" t="s">
        <v>174</v>
      </c>
      <c r="B41" s="13">
        <v>2854</v>
      </c>
      <c r="C41" s="14">
        <f>(2356/B41*100)</f>
        <v>82.550805886475118</v>
      </c>
      <c r="D41" s="15">
        <v>498</v>
      </c>
      <c r="E41" s="14">
        <v>33.339889540000001</v>
      </c>
      <c r="F41" s="16">
        <v>2.2979059199999998</v>
      </c>
      <c r="G41" s="14">
        <v>16.970543809999999</v>
      </c>
      <c r="H41" s="16">
        <v>1.6687290699999999</v>
      </c>
      <c r="I41" s="14">
        <v>26.814844690000001</v>
      </c>
      <c r="J41" s="16">
        <v>1.8495030699999999</v>
      </c>
      <c r="K41" s="14">
        <v>22.87472197</v>
      </c>
      <c r="L41" s="16">
        <v>2.1913086800000001</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3612.53125</v>
      </c>
      <c r="C42" s="14">
        <f>IF(COUNT(C7:C41) &gt; 0, AVERAGE(C7:C41), "—")</f>
        <v>83.213859190561493</v>
      </c>
      <c r="D42" s="15">
        <f>IF(COUNT(D7:D41) &gt; 0, AVERAGE(D7:D41), "—")</f>
        <v>606.40625</v>
      </c>
      <c r="E42" s="14">
        <f>IF(COUNT(E7:E41) &gt; 0, AVERAGE(E7:E41), "—")</f>
        <v>32.488661205625</v>
      </c>
      <c r="F42" s="16">
        <f>IF(COUNT(F7:F41) &gt; 0, SQRT(SUMSQ(F7:F41)/(COUNT(F7:F41)*COUNT(F7:F41)) ), "—")</f>
        <v>0.37584773327001419</v>
      </c>
      <c r="G42" s="14">
        <f>IF(COUNT(G7:G41) &gt; 0, AVERAGE(G7:G41), "—")</f>
        <v>15.8971658096875</v>
      </c>
      <c r="H42" s="16">
        <f>IF(COUNT(H7:H41) &gt; 0, SQRT(SUMSQ(H7:H41)/(COUNT(H7:H41)*COUNT(H7:H41)) ), "—")</f>
        <v>0.29444380158397304</v>
      </c>
      <c r="I42" s="14">
        <f>IF(COUNT(I7:I41) &gt; 0, AVERAGE(I7:I41), "—")</f>
        <v>30.733431587812497</v>
      </c>
      <c r="J42" s="16">
        <f>IF(COUNT(J7:J41) &gt; 0, SQRT(SUMSQ(J7:J41)/(COUNT(J7:J41)*COUNT(J7:J41)) ), "—")</f>
        <v>0.36322472993445104</v>
      </c>
      <c r="K42" s="14">
        <f>IF(COUNT(K7:K41) &gt; 0, AVERAGE(K7:K41), "—")</f>
        <v>20.880741397187499</v>
      </c>
      <c r="L42" s="16">
        <f>IF(COUNT(L7:L41) &gt; 0, SQRT(SUMSQ(L7:L41)/(COUNT(L7:L41)*COUNT(L7:L41)) ), "—")</f>
        <v>0.33484605249533528</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12073</v>
      </c>
      <c r="C46" s="14">
        <f>(10528/B46*100)</f>
        <v>87.2028493332229</v>
      </c>
      <c r="D46" s="15">
        <v>1545</v>
      </c>
      <c r="E46" s="14">
        <v>65.457900199999997</v>
      </c>
      <c r="F46" s="16">
        <v>1.7120101700000001</v>
      </c>
      <c r="G46" s="14">
        <v>11.506155209999999</v>
      </c>
      <c r="H46" s="16">
        <v>1.2814025499999999</v>
      </c>
      <c r="I46" s="14">
        <v>16.954793500000001</v>
      </c>
      <c r="J46" s="16">
        <v>1.25880072</v>
      </c>
      <c r="K46" s="14">
        <v>6.0811510799999997</v>
      </c>
      <c r="L46" s="16">
        <v>0.78529238000000001</v>
      </c>
      <c r="M46" s="14" t="s">
        <v>139</v>
      </c>
      <c r="N46" s="16" t="s">
        <v>139</v>
      </c>
      <c r="O46" s="14">
        <v>0</v>
      </c>
      <c r="P46" s="16">
        <v>0</v>
      </c>
      <c r="Q46" s="14">
        <v>0</v>
      </c>
      <c r="R46" s="16">
        <v>0</v>
      </c>
      <c r="S46" s="14">
        <v>0</v>
      </c>
      <c r="T46" s="16">
        <v>0</v>
      </c>
      <c r="U46" s="14">
        <v>0</v>
      </c>
      <c r="V46" s="16">
        <v>0</v>
      </c>
    </row>
    <row r="47" spans="1:22" x14ac:dyDescent="0.25">
      <c r="A47" s="11" t="s">
        <v>180</v>
      </c>
      <c r="B47" s="13">
        <v>2823</v>
      </c>
      <c r="C47" s="14">
        <f>(2353/B47*100)</f>
        <v>83.351044987601838</v>
      </c>
      <c r="D47" s="15">
        <v>470</v>
      </c>
      <c r="E47" s="14">
        <v>43.247024760000002</v>
      </c>
      <c r="F47" s="16">
        <v>2.5059198299999998</v>
      </c>
      <c r="G47" s="14">
        <v>15.18028556</v>
      </c>
      <c r="H47" s="16">
        <v>1.5682513300000001</v>
      </c>
      <c r="I47" s="14">
        <v>26.73681573</v>
      </c>
      <c r="J47" s="16">
        <v>1.9085776699999999</v>
      </c>
      <c r="K47" s="14">
        <v>14.83587395</v>
      </c>
      <c r="L47" s="16">
        <v>1.6250323499999999</v>
      </c>
      <c r="M47" s="14" t="s">
        <v>139</v>
      </c>
      <c r="N47" s="16" t="s">
        <v>139</v>
      </c>
      <c r="O47" s="14">
        <v>0</v>
      </c>
      <c r="P47" s="16">
        <v>0</v>
      </c>
      <c r="Q47" s="14">
        <v>0</v>
      </c>
      <c r="R47" s="16">
        <v>0</v>
      </c>
      <c r="S47" s="14">
        <v>0</v>
      </c>
      <c r="T47" s="16">
        <v>0</v>
      </c>
      <c r="U47" s="14">
        <v>0</v>
      </c>
      <c r="V47" s="16">
        <v>0</v>
      </c>
    </row>
    <row r="48" spans="1:22" x14ac:dyDescent="0.25">
      <c r="A48" s="11" t="s">
        <v>181</v>
      </c>
      <c r="B48" s="13">
        <v>4682</v>
      </c>
      <c r="C48" s="14">
        <f>(3888/B48*100)</f>
        <v>83.041435284066637</v>
      </c>
      <c r="D48" s="15">
        <v>794</v>
      </c>
      <c r="E48" s="14">
        <v>32.729433479999997</v>
      </c>
      <c r="F48" s="16">
        <v>2.2158368300000002</v>
      </c>
      <c r="G48" s="14">
        <v>10.528392309999999</v>
      </c>
      <c r="H48" s="16">
        <v>1.79965383</v>
      </c>
      <c r="I48" s="14">
        <v>28.001345820000001</v>
      </c>
      <c r="J48" s="16">
        <v>2.0399254600000001</v>
      </c>
      <c r="K48" s="14">
        <v>28.740828400000002</v>
      </c>
      <c r="L48" s="16">
        <v>2.00038341</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6158</v>
      </c>
      <c r="C50" s="14">
        <f>(5168/B50*100)</f>
        <v>83.923351737577136</v>
      </c>
      <c r="D50" s="15">
        <v>990</v>
      </c>
      <c r="E50" s="14">
        <v>60.677160290000003</v>
      </c>
      <c r="F50" s="16">
        <v>1.8869649500000001</v>
      </c>
      <c r="G50" s="14">
        <v>6.7766369199999996</v>
      </c>
      <c r="H50" s="16">
        <v>1.07464903</v>
      </c>
      <c r="I50" s="14">
        <v>22.62092371</v>
      </c>
      <c r="J50" s="16">
        <v>1.6290910199999999</v>
      </c>
      <c r="K50" s="14">
        <v>9.9252790799999993</v>
      </c>
      <c r="L50" s="16">
        <v>1.0870389300000001</v>
      </c>
      <c r="M50" s="14" t="s">
        <v>139</v>
      </c>
      <c r="N50" s="16" t="s">
        <v>139</v>
      </c>
      <c r="O50" s="14">
        <v>0</v>
      </c>
      <c r="P50" s="16">
        <v>0</v>
      </c>
      <c r="Q50" s="14">
        <v>0</v>
      </c>
      <c r="R50" s="16">
        <v>0</v>
      </c>
      <c r="S50" s="14">
        <v>0</v>
      </c>
      <c r="T50" s="16">
        <v>0</v>
      </c>
      <c r="U50" s="14">
        <v>0</v>
      </c>
      <c r="V50" s="16">
        <v>0</v>
      </c>
    </row>
    <row r="51" spans="1:22" x14ac:dyDescent="0.25">
      <c r="A51" s="11" t="s">
        <v>184</v>
      </c>
      <c r="B51" s="13">
        <v>3494</v>
      </c>
      <c r="C51" s="14">
        <f>(3000/B51*100)</f>
        <v>85.861476817401268</v>
      </c>
      <c r="D51" s="15">
        <v>494</v>
      </c>
      <c r="E51" s="14">
        <v>67.193282370000006</v>
      </c>
      <c r="F51" s="16">
        <v>2.2377267700000001</v>
      </c>
      <c r="G51" s="14">
        <v>9.8272653000000005</v>
      </c>
      <c r="H51" s="16">
        <v>1.4102516300000001</v>
      </c>
      <c r="I51" s="14">
        <v>14.172686730000001</v>
      </c>
      <c r="J51" s="16">
        <v>1.6768814000000001</v>
      </c>
      <c r="K51" s="14">
        <v>8.8067656000000003</v>
      </c>
      <c r="L51" s="16">
        <v>1.5464827800000001</v>
      </c>
      <c r="M51" s="14" t="s">
        <v>139</v>
      </c>
      <c r="N51" s="16" t="s">
        <v>139</v>
      </c>
      <c r="O51" s="14">
        <v>0</v>
      </c>
      <c r="P51" s="16">
        <v>0</v>
      </c>
      <c r="Q51" s="14">
        <v>0</v>
      </c>
      <c r="R51" s="16">
        <v>0</v>
      </c>
      <c r="S51" s="14">
        <v>0</v>
      </c>
      <c r="T51" s="16">
        <v>0</v>
      </c>
      <c r="U51" s="14">
        <v>0</v>
      </c>
      <c r="V51" s="16">
        <v>0</v>
      </c>
    </row>
    <row r="52" spans="1:22" x14ac:dyDescent="0.25">
      <c r="A52" s="11" t="s">
        <v>185</v>
      </c>
      <c r="B52" s="13">
        <v>3013</v>
      </c>
      <c r="C52" s="14">
        <f>(2499/B52*100)</f>
        <v>82.940590773315634</v>
      </c>
      <c r="D52" s="15">
        <v>514</v>
      </c>
      <c r="E52" s="14">
        <v>35.541617430000002</v>
      </c>
      <c r="F52" s="16">
        <v>2.0715705500000001</v>
      </c>
      <c r="G52" s="14">
        <v>19.130957819999999</v>
      </c>
      <c r="H52" s="16">
        <v>1.8023851099999999</v>
      </c>
      <c r="I52" s="14">
        <v>32.504860299999997</v>
      </c>
      <c r="J52" s="16">
        <v>2.1701034400000001</v>
      </c>
      <c r="K52" s="14">
        <v>12.82256445</v>
      </c>
      <c r="L52" s="16">
        <v>1.4956119699999999</v>
      </c>
      <c r="M52" s="14" t="s">
        <v>139</v>
      </c>
      <c r="N52" s="16" t="s">
        <v>139</v>
      </c>
      <c r="O52" s="14">
        <v>0</v>
      </c>
      <c r="P52" s="16">
        <v>0</v>
      </c>
      <c r="Q52" s="14">
        <v>0</v>
      </c>
      <c r="R52" s="16">
        <v>0</v>
      </c>
      <c r="S52" s="14">
        <v>0</v>
      </c>
      <c r="T52" s="16">
        <v>0</v>
      </c>
      <c r="U52" s="14">
        <v>0</v>
      </c>
      <c r="V52" s="16">
        <v>0</v>
      </c>
    </row>
    <row r="53" spans="1:22" x14ac:dyDescent="0.25">
      <c r="A53" s="11" t="s">
        <v>186</v>
      </c>
      <c r="B53" s="13">
        <v>2760</v>
      </c>
      <c r="C53" s="14">
        <f>(2316/B53*100)</f>
        <v>83.913043478260875</v>
      </c>
      <c r="D53" s="15">
        <v>444</v>
      </c>
      <c r="E53" s="14">
        <v>44.299626400000001</v>
      </c>
      <c r="F53" s="16">
        <v>3.00545325</v>
      </c>
      <c r="G53" s="14">
        <v>10.873844350000001</v>
      </c>
      <c r="H53" s="16">
        <v>1.5118941299999999</v>
      </c>
      <c r="I53" s="14">
        <v>25.068101720000001</v>
      </c>
      <c r="J53" s="16">
        <v>2.5262585899999999</v>
      </c>
      <c r="K53" s="14">
        <v>19.758427529999999</v>
      </c>
      <c r="L53" s="16">
        <v>1.90819911</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2675</v>
      </c>
      <c r="C56" s="14">
        <f>(2209/B56*100)</f>
        <v>82.579439252336456</v>
      </c>
      <c r="D56" s="15">
        <v>466</v>
      </c>
      <c r="E56" s="14">
        <v>18.069931350000001</v>
      </c>
      <c r="F56" s="16">
        <v>1.81585412</v>
      </c>
      <c r="G56" s="14">
        <v>13.75715757</v>
      </c>
      <c r="H56" s="16">
        <v>1.74717049</v>
      </c>
      <c r="I56" s="14">
        <v>28.930662590000001</v>
      </c>
      <c r="J56" s="16">
        <v>2.3787608599999999</v>
      </c>
      <c r="K56" s="14">
        <v>39.242248490000001</v>
      </c>
      <c r="L56" s="16">
        <v>2.8647938900000001</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3201</v>
      </c>
      <c r="C61" s="14">
        <f>(2653/B61*100)</f>
        <v>82.880349890659161</v>
      </c>
      <c r="D61" s="15">
        <v>548</v>
      </c>
      <c r="E61" s="14">
        <v>42.474896119999997</v>
      </c>
      <c r="F61" s="16">
        <v>2.4909860400000001</v>
      </c>
      <c r="G61" s="14">
        <v>10.926125430000001</v>
      </c>
      <c r="H61" s="16">
        <v>1.5273978500000001</v>
      </c>
      <c r="I61" s="14">
        <v>30.732001709999999</v>
      </c>
      <c r="J61" s="16">
        <v>2.3341316399999998</v>
      </c>
      <c r="K61" s="14">
        <v>15.86697674</v>
      </c>
      <c r="L61" s="16">
        <v>1.9435060799999999</v>
      </c>
      <c r="M61" s="14" t="s">
        <v>139</v>
      </c>
      <c r="N61" s="16" t="s">
        <v>139</v>
      </c>
      <c r="O61" s="14">
        <v>0</v>
      </c>
      <c r="P61" s="16">
        <v>0</v>
      </c>
      <c r="Q61" s="14">
        <v>0</v>
      </c>
      <c r="R61" s="16">
        <v>0</v>
      </c>
      <c r="S61" s="14">
        <v>0</v>
      </c>
      <c r="T61" s="16">
        <v>0</v>
      </c>
      <c r="U61" s="14">
        <v>0</v>
      </c>
      <c r="V61" s="16">
        <v>0</v>
      </c>
    </row>
    <row r="62" spans="1:22" x14ac:dyDescent="0.25">
      <c r="A62" s="11" t="s">
        <v>195</v>
      </c>
      <c r="B62" s="13">
        <v>2230</v>
      </c>
      <c r="C62" s="14">
        <f>(1860/B62*100)</f>
        <v>83.408071748878925</v>
      </c>
      <c r="D62" s="15">
        <v>370</v>
      </c>
      <c r="E62" s="14">
        <v>23.779115669999999</v>
      </c>
      <c r="F62" s="16">
        <v>2.1882469499999999</v>
      </c>
      <c r="G62" s="14">
        <v>7.0334635299999997</v>
      </c>
      <c r="H62" s="16">
        <v>1.4614026899999999</v>
      </c>
      <c r="I62" s="14">
        <v>28.620978090000001</v>
      </c>
      <c r="J62" s="16">
        <v>2.13871309</v>
      </c>
      <c r="K62" s="14">
        <v>40.566442700000003</v>
      </c>
      <c r="L62" s="16">
        <v>2.5426651800000002</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2771</v>
      </c>
      <c r="C66" s="14">
        <f>(2300/B66*100)</f>
        <v>83.002526163839775</v>
      </c>
      <c r="D66" s="15">
        <v>471</v>
      </c>
      <c r="E66" s="14">
        <v>58.510594179999998</v>
      </c>
      <c r="F66" s="16">
        <v>2.0389253699999998</v>
      </c>
      <c r="G66" s="14">
        <v>12.97838022</v>
      </c>
      <c r="H66" s="16">
        <v>1.48133059</v>
      </c>
      <c r="I66" s="14">
        <v>15.94583963</v>
      </c>
      <c r="J66" s="16">
        <v>1.69320391</v>
      </c>
      <c r="K66" s="14">
        <v>12.565185960000001</v>
      </c>
      <c r="L66" s="16">
        <v>1.5251223300000001</v>
      </c>
      <c r="M66" s="14" t="s">
        <v>139</v>
      </c>
      <c r="N66" s="16" t="s">
        <v>139</v>
      </c>
      <c r="O66" s="14">
        <v>0</v>
      </c>
      <c r="P66" s="16">
        <v>0</v>
      </c>
      <c r="Q66" s="14">
        <v>0</v>
      </c>
      <c r="R66" s="16">
        <v>0</v>
      </c>
      <c r="S66" s="14">
        <v>0</v>
      </c>
      <c r="T66" s="16">
        <v>0</v>
      </c>
      <c r="U66" s="14">
        <v>0</v>
      </c>
      <c r="V66" s="16">
        <v>0</v>
      </c>
    </row>
    <row r="67" spans="1:22" x14ac:dyDescent="0.25">
      <c r="A67" s="11" t="s">
        <v>200</v>
      </c>
      <c r="B67" s="13">
        <v>3460</v>
      </c>
      <c r="C67" s="14">
        <f>(2969/B67*100)</f>
        <v>85.809248554913296</v>
      </c>
      <c r="D67" s="15">
        <v>491</v>
      </c>
      <c r="E67" s="14">
        <v>66.697738180000002</v>
      </c>
      <c r="F67" s="16">
        <v>2.4329661499999999</v>
      </c>
      <c r="G67" s="14">
        <v>8.9247168200000004</v>
      </c>
      <c r="H67" s="16">
        <v>1.7026764999999999</v>
      </c>
      <c r="I67" s="14">
        <v>19.37595657</v>
      </c>
      <c r="J67" s="16">
        <v>1.9200956899999999</v>
      </c>
      <c r="K67" s="14">
        <v>5.00158842</v>
      </c>
      <c r="L67" s="16">
        <v>0.84347835000000004</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3107</v>
      </c>
      <c r="C70" s="14">
        <f>(2579/B70*100)</f>
        <v>83.006115223688454</v>
      </c>
      <c r="D70" s="15">
        <v>528</v>
      </c>
      <c r="E70" s="14">
        <v>29.15923841</v>
      </c>
      <c r="F70" s="16">
        <v>2.5522023699999998</v>
      </c>
      <c r="G70" s="14">
        <v>20.042613060000001</v>
      </c>
      <c r="H70" s="16">
        <v>2.03022956</v>
      </c>
      <c r="I70" s="14">
        <v>18.082160689999998</v>
      </c>
      <c r="J70" s="16">
        <v>1.62386846</v>
      </c>
      <c r="K70" s="14">
        <v>32.715987839999997</v>
      </c>
      <c r="L70" s="16">
        <v>2.5866509199999999</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3819</v>
      </c>
      <c r="C72" s="14">
        <f>(3156/B72*100)</f>
        <v>82.639434406912798</v>
      </c>
      <c r="D72" s="15">
        <v>663</v>
      </c>
      <c r="E72" s="14">
        <v>32.386694540000001</v>
      </c>
      <c r="F72" s="16">
        <v>1.95166168</v>
      </c>
      <c r="G72" s="14">
        <v>9.2334010699999993</v>
      </c>
      <c r="H72" s="16">
        <v>1.10586695</v>
      </c>
      <c r="I72" s="14">
        <v>36.910341670000001</v>
      </c>
      <c r="J72" s="16">
        <v>1.7271455</v>
      </c>
      <c r="K72" s="14">
        <v>21.469562719999999</v>
      </c>
      <c r="L72" s="16">
        <v>1.5997036899999999</v>
      </c>
      <c r="M72" s="14" t="s">
        <v>139</v>
      </c>
      <c r="N72" s="16" t="s">
        <v>139</v>
      </c>
      <c r="O72" s="14">
        <v>0</v>
      </c>
      <c r="P72" s="16">
        <v>0</v>
      </c>
      <c r="Q72" s="14">
        <v>0</v>
      </c>
      <c r="R72" s="16">
        <v>0</v>
      </c>
      <c r="S72" s="14">
        <v>0</v>
      </c>
      <c r="T72" s="16">
        <v>0</v>
      </c>
      <c r="U72" s="14">
        <v>0</v>
      </c>
      <c r="V72" s="16">
        <v>0</v>
      </c>
    </row>
    <row r="73" spans="1:22" x14ac:dyDescent="0.25">
      <c r="A73" s="11" t="s">
        <v>206</v>
      </c>
      <c r="B73" s="13">
        <v>4652</v>
      </c>
      <c r="C73" s="14">
        <f>(3927/B73*100)</f>
        <v>84.41530524505589</v>
      </c>
      <c r="D73" s="15">
        <v>725</v>
      </c>
      <c r="E73" s="14">
        <v>33.537156430000003</v>
      </c>
      <c r="F73" s="16">
        <v>2.0519172399999999</v>
      </c>
      <c r="G73" s="14">
        <v>10.239387649999999</v>
      </c>
      <c r="H73" s="16">
        <v>1.37696544</v>
      </c>
      <c r="I73" s="14">
        <v>29.948087910000002</v>
      </c>
      <c r="J73" s="16">
        <v>1.8364914000000001</v>
      </c>
      <c r="K73" s="14">
        <v>26.275368010000001</v>
      </c>
      <c r="L73" s="16">
        <v>1.9127851499999999</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2969</v>
      </c>
      <c r="C75" s="14">
        <f>(2524/B75*100)</f>
        <v>85.011788480970012</v>
      </c>
      <c r="D75" s="15">
        <v>445</v>
      </c>
      <c r="E75" s="14">
        <v>65.579967719999999</v>
      </c>
      <c r="F75" s="16">
        <v>2.4796956400000001</v>
      </c>
      <c r="G75" s="14">
        <v>8.3048458099999998</v>
      </c>
      <c r="H75" s="16">
        <v>1.2958965200000001</v>
      </c>
      <c r="I75" s="14">
        <v>21.186370230000001</v>
      </c>
      <c r="J75" s="16">
        <v>2.08422916</v>
      </c>
      <c r="K75" s="14">
        <v>4.9288162499999997</v>
      </c>
      <c r="L75" s="16">
        <v>0.95978595</v>
      </c>
      <c r="M75" s="14" t="s">
        <v>139</v>
      </c>
      <c r="N75" s="16" t="s">
        <v>139</v>
      </c>
      <c r="O75" s="14">
        <v>0</v>
      </c>
      <c r="P75" s="16">
        <v>0</v>
      </c>
      <c r="Q75" s="14">
        <v>0</v>
      </c>
      <c r="R75" s="16">
        <v>0</v>
      </c>
      <c r="S75" s="14">
        <v>0</v>
      </c>
      <c r="T75" s="16">
        <v>0</v>
      </c>
      <c r="U75" s="14">
        <v>0</v>
      </c>
      <c r="V75" s="16">
        <v>0</v>
      </c>
    </row>
    <row r="76" spans="1:22" x14ac:dyDescent="0.25">
      <c r="A76" s="11" t="s">
        <v>209</v>
      </c>
      <c r="B76" s="13">
        <v>7115</v>
      </c>
      <c r="C76" s="14">
        <f>(5913/B76*100)</f>
        <v>83.106113843991565</v>
      </c>
      <c r="D76" s="15">
        <v>1202</v>
      </c>
      <c r="E76" s="14">
        <v>53.005460849999999</v>
      </c>
      <c r="F76" s="16">
        <v>1.6405471700000001</v>
      </c>
      <c r="G76" s="14">
        <v>11.18250134</v>
      </c>
      <c r="H76" s="16">
        <v>1.2582191899999999</v>
      </c>
      <c r="I76" s="14">
        <v>23.959034330000001</v>
      </c>
      <c r="J76" s="16">
        <v>1.24970048</v>
      </c>
      <c r="K76" s="14">
        <v>11.85300348</v>
      </c>
      <c r="L76" s="16">
        <v>1.3103714</v>
      </c>
      <c r="M76" s="14" t="s">
        <v>139</v>
      </c>
      <c r="N76" s="16" t="s">
        <v>139</v>
      </c>
      <c r="O76" s="14">
        <v>0</v>
      </c>
      <c r="P76" s="16">
        <v>0</v>
      </c>
      <c r="Q76" s="14">
        <v>0</v>
      </c>
      <c r="R76" s="16">
        <v>0</v>
      </c>
      <c r="S76" s="14">
        <v>0</v>
      </c>
      <c r="T76" s="16">
        <v>0</v>
      </c>
      <c r="U76" s="14">
        <v>0</v>
      </c>
      <c r="V76" s="16">
        <v>0</v>
      </c>
    </row>
    <row r="77" spans="1:22" x14ac:dyDescent="0.25">
      <c r="A77" s="11" t="s">
        <v>210</v>
      </c>
      <c r="B77" s="13">
        <v>3154</v>
      </c>
      <c r="C77" s="14">
        <f>(2638/B77*100)</f>
        <v>83.639822447685475</v>
      </c>
      <c r="D77" s="15">
        <v>516</v>
      </c>
      <c r="E77" s="14">
        <v>60.922439730000001</v>
      </c>
      <c r="F77" s="16">
        <v>2.1108753500000002</v>
      </c>
      <c r="G77" s="14">
        <v>12.59726453</v>
      </c>
      <c r="H77" s="16">
        <v>1.6790689999999999</v>
      </c>
      <c r="I77" s="14">
        <v>19.865801390000001</v>
      </c>
      <c r="J77" s="16">
        <v>1.3975953999999999</v>
      </c>
      <c r="K77" s="14">
        <v>6.6144943400000002</v>
      </c>
      <c r="L77" s="16">
        <v>1.1268901499999999</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4698</v>
      </c>
      <c r="C81" s="14">
        <f>(3899/B81*100)</f>
        <v>82.992762877820354</v>
      </c>
      <c r="D81" s="15">
        <v>799</v>
      </c>
      <c r="E81" s="14">
        <v>42.714052639999998</v>
      </c>
      <c r="F81" s="16">
        <v>2.1922792200000001</v>
      </c>
      <c r="G81" s="14">
        <v>10.50600691</v>
      </c>
      <c r="H81" s="16">
        <v>1.25510517</v>
      </c>
      <c r="I81" s="14">
        <v>26.314221270000001</v>
      </c>
      <c r="J81" s="16">
        <v>1.8412704</v>
      </c>
      <c r="K81" s="14">
        <v>20.465719180000001</v>
      </c>
      <c r="L81" s="16">
        <v>1.69363752</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337</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(5948/B7*100)</f>
        <v>83.037833310065608</v>
      </c>
      <c r="D7" s="15">
        <v>1215</v>
      </c>
      <c r="E7" s="14">
        <v>6.5205573100000001</v>
      </c>
      <c r="F7" s="16">
        <v>0.73067941000000003</v>
      </c>
      <c r="G7" s="14">
        <v>55.896894400000001</v>
      </c>
      <c r="H7" s="16">
        <v>1.7013034499999999</v>
      </c>
      <c r="I7" s="14">
        <v>37.582548289999998</v>
      </c>
      <c r="J7" s="16">
        <v>1.4978459099999999</v>
      </c>
      <c r="K7" s="14" t="s">
        <v>139</v>
      </c>
      <c r="L7" s="16" t="s">
        <v>139</v>
      </c>
      <c r="M7" s="14">
        <v>0</v>
      </c>
      <c r="N7" s="16">
        <v>0</v>
      </c>
      <c r="O7" s="14">
        <v>0</v>
      </c>
      <c r="P7" s="16">
        <v>0</v>
      </c>
      <c r="Q7" s="14">
        <v>0</v>
      </c>
      <c r="R7" s="16">
        <v>0</v>
      </c>
      <c r="S7" s="14">
        <v>0</v>
      </c>
      <c r="T7" s="16">
        <v>0</v>
      </c>
    </row>
    <row r="8" spans="1:20" x14ac:dyDescent="0.25">
      <c r="A8" s="11" t="s">
        <v>140</v>
      </c>
      <c r="B8" s="13">
        <v>3443</v>
      </c>
      <c r="C8" s="14">
        <f>(2835/B8*100)</f>
        <v>82.340981702004072</v>
      </c>
      <c r="D8" s="15">
        <v>608</v>
      </c>
      <c r="E8" s="14">
        <v>2.6317379500000002</v>
      </c>
      <c r="F8" s="16">
        <v>0.70259333999999996</v>
      </c>
      <c r="G8" s="14">
        <v>69.908460680000005</v>
      </c>
      <c r="H8" s="16">
        <v>2.06111815</v>
      </c>
      <c r="I8" s="14">
        <v>27.45980136</v>
      </c>
      <c r="J8" s="16">
        <v>2.06376384</v>
      </c>
      <c r="K8" s="14" t="s">
        <v>139</v>
      </c>
      <c r="L8" s="16" t="s">
        <v>139</v>
      </c>
      <c r="M8" s="14">
        <v>0</v>
      </c>
      <c r="N8" s="16">
        <v>0</v>
      </c>
      <c r="O8" s="14">
        <v>0</v>
      </c>
      <c r="P8" s="16">
        <v>0</v>
      </c>
      <c r="Q8" s="14">
        <v>0</v>
      </c>
      <c r="R8" s="16">
        <v>0</v>
      </c>
      <c r="S8" s="14">
        <v>0</v>
      </c>
      <c r="T8" s="16">
        <v>0</v>
      </c>
    </row>
    <row r="9" spans="1:20" x14ac:dyDescent="0.25">
      <c r="A9" s="11" t="s">
        <v>141</v>
      </c>
      <c r="B9" s="13">
        <v>4752</v>
      </c>
      <c r="C9" s="14">
        <f>(3984/B9*100)</f>
        <v>83.838383838383834</v>
      </c>
      <c r="D9" s="15">
        <v>768</v>
      </c>
      <c r="E9" s="14">
        <v>4.3150167699999997</v>
      </c>
      <c r="F9" s="16">
        <v>0.72278690999999995</v>
      </c>
      <c r="G9" s="14">
        <v>70.486748300000002</v>
      </c>
      <c r="H9" s="16">
        <v>1.4846432300000001</v>
      </c>
      <c r="I9" s="14">
        <v>25.198234939999999</v>
      </c>
      <c r="J9" s="16">
        <v>1.4053753600000001</v>
      </c>
      <c r="K9" s="14" t="s">
        <v>139</v>
      </c>
      <c r="L9" s="16" t="s">
        <v>139</v>
      </c>
      <c r="M9" s="14">
        <v>0</v>
      </c>
      <c r="N9" s="16">
        <v>0</v>
      </c>
      <c r="O9" s="14">
        <v>0</v>
      </c>
      <c r="P9" s="16">
        <v>0</v>
      </c>
      <c r="Q9" s="14">
        <v>0</v>
      </c>
      <c r="R9" s="16">
        <v>0</v>
      </c>
      <c r="S9" s="14">
        <v>0</v>
      </c>
      <c r="T9" s="16">
        <v>0</v>
      </c>
    </row>
    <row r="10" spans="1:20" x14ac:dyDescent="0.25">
      <c r="A10" s="11" t="s">
        <v>142</v>
      </c>
      <c r="B10" s="13">
        <v>10022</v>
      </c>
      <c r="C10" s="14">
        <f>(8323/B10*100)</f>
        <v>83.047295948912392</v>
      </c>
      <c r="D10" s="15">
        <v>1699</v>
      </c>
      <c r="E10" s="14">
        <v>5.3238708600000004</v>
      </c>
      <c r="F10" s="16">
        <v>0.94726769</v>
      </c>
      <c r="G10" s="14">
        <v>56.730563859999997</v>
      </c>
      <c r="H10" s="16">
        <v>1.5803788400000001</v>
      </c>
      <c r="I10" s="14">
        <v>37.945565279999997</v>
      </c>
      <c r="J10" s="16">
        <v>1.5188866400000001</v>
      </c>
      <c r="K10" s="14" t="s">
        <v>139</v>
      </c>
      <c r="L10" s="16" t="s">
        <v>139</v>
      </c>
      <c r="M10" s="14">
        <v>0</v>
      </c>
      <c r="N10" s="16">
        <v>0</v>
      </c>
      <c r="O10" s="14">
        <v>0</v>
      </c>
      <c r="P10" s="16">
        <v>0</v>
      </c>
      <c r="Q10" s="14">
        <v>0</v>
      </c>
      <c r="R10" s="16">
        <v>0</v>
      </c>
      <c r="S10" s="14">
        <v>0</v>
      </c>
      <c r="T10" s="16">
        <v>0</v>
      </c>
    </row>
    <row r="11" spans="1:20" x14ac:dyDescent="0.25">
      <c r="A11" s="11" t="s">
        <v>143</v>
      </c>
      <c r="B11" s="13">
        <v>3500</v>
      </c>
      <c r="C11" s="14">
        <f>(2915/B11*100)</f>
        <v>83.285714285714292</v>
      </c>
      <c r="D11" s="15">
        <v>585</v>
      </c>
      <c r="E11" s="14">
        <v>5.3941422599999997</v>
      </c>
      <c r="F11" s="16">
        <v>1.15123537</v>
      </c>
      <c r="G11" s="14">
        <v>70.836568940000006</v>
      </c>
      <c r="H11" s="16">
        <v>1.82737576</v>
      </c>
      <c r="I11" s="14">
        <v>23.769288800000002</v>
      </c>
      <c r="J11" s="16">
        <v>1.64174742</v>
      </c>
      <c r="K11" s="14" t="s">
        <v>139</v>
      </c>
      <c r="L11" s="16" t="s">
        <v>139</v>
      </c>
      <c r="M11" s="14">
        <v>0</v>
      </c>
      <c r="N11" s="16">
        <v>0</v>
      </c>
      <c r="O11" s="14">
        <v>0</v>
      </c>
      <c r="P11" s="16">
        <v>0</v>
      </c>
      <c r="Q11" s="14">
        <v>0</v>
      </c>
      <c r="R11" s="16">
        <v>0</v>
      </c>
      <c r="S11" s="14">
        <v>0</v>
      </c>
      <c r="T11" s="16">
        <v>0</v>
      </c>
    </row>
    <row r="12" spans="1:20" x14ac:dyDescent="0.25">
      <c r="A12" s="11" t="s">
        <v>144</v>
      </c>
      <c r="B12" s="13">
        <v>3422</v>
      </c>
      <c r="C12" s="14">
        <f>(2874/B12*100)</f>
        <v>83.985973115137341</v>
      </c>
      <c r="D12" s="15">
        <v>548</v>
      </c>
      <c r="E12" s="14">
        <v>2.6308354999999999</v>
      </c>
      <c r="F12" s="16">
        <v>0.56107633000000001</v>
      </c>
      <c r="G12" s="14">
        <v>72.35031979</v>
      </c>
      <c r="H12" s="16">
        <v>1.54734466</v>
      </c>
      <c r="I12" s="14">
        <v>25.01884471</v>
      </c>
      <c r="J12" s="16">
        <v>1.59019168</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(3009/B13*100)</f>
        <v>83.53692393114936</v>
      </c>
      <c r="D13" s="15">
        <v>593</v>
      </c>
      <c r="E13" s="14">
        <v>4.07883569</v>
      </c>
      <c r="F13" s="16">
        <v>0.96168777999999999</v>
      </c>
      <c r="G13" s="14">
        <v>61.530513839999998</v>
      </c>
      <c r="H13" s="16">
        <v>2.3211917199999998</v>
      </c>
      <c r="I13" s="14">
        <v>34.390650469999997</v>
      </c>
      <c r="J13" s="16">
        <v>2.2642510100000002</v>
      </c>
      <c r="K13" s="14" t="s">
        <v>139</v>
      </c>
      <c r="L13" s="16" t="s">
        <v>139</v>
      </c>
      <c r="M13" s="14">
        <v>0</v>
      </c>
      <c r="N13" s="16">
        <v>0</v>
      </c>
      <c r="O13" s="14">
        <v>0</v>
      </c>
      <c r="P13" s="16">
        <v>0</v>
      </c>
      <c r="Q13" s="14">
        <v>0</v>
      </c>
      <c r="R13" s="16">
        <v>0</v>
      </c>
      <c r="S13" s="14">
        <v>0</v>
      </c>
      <c r="T13" s="16">
        <v>0</v>
      </c>
    </row>
    <row r="14" spans="1:20" x14ac:dyDescent="0.25">
      <c r="A14" s="11" t="s">
        <v>146</v>
      </c>
      <c r="B14" s="13">
        <v>2788</v>
      </c>
      <c r="C14" s="14">
        <f>(2309/B14*100)</f>
        <v>82.819225251076048</v>
      </c>
      <c r="D14" s="15">
        <v>479</v>
      </c>
      <c r="E14" s="14">
        <v>3.63181859</v>
      </c>
      <c r="F14" s="16">
        <v>0.98468796000000003</v>
      </c>
      <c r="G14" s="14">
        <v>63.164682429999999</v>
      </c>
      <c r="H14" s="16">
        <v>2.09476043</v>
      </c>
      <c r="I14" s="14">
        <v>33.203498979999999</v>
      </c>
      <c r="J14" s="16">
        <v>2.0747719500000001</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(2367/B15*100)</f>
        <v>82.675515193852604</v>
      </c>
      <c r="D15" s="15">
        <v>496</v>
      </c>
      <c r="E15" s="14">
        <v>2.5007077899999999</v>
      </c>
      <c r="F15" s="16">
        <v>0.72084526000000004</v>
      </c>
      <c r="G15" s="14">
        <v>50.981605960000003</v>
      </c>
      <c r="H15" s="16">
        <v>2.0189089899999999</v>
      </c>
      <c r="I15" s="14">
        <v>46.517686249999997</v>
      </c>
      <c r="J15" s="16">
        <v>2.0609798100000001</v>
      </c>
      <c r="K15" s="14" t="s">
        <v>139</v>
      </c>
      <c r="L15" s="16" t="s">
        <v>139</v>
      </c>
      <c r="M15" s="14">
        <v>0</v>
      </c>
      <c r="N15" s="16">
        <v>0</v>
      </c>
      <c r="O15" s="14">
        <v>0</v>
      </c>
      <c r="P15" s="16">
        <v>0</v>
      </c>
      <c r="Q15" s="14">
        <v>0</v>
      </c>
      <c r="R15" s="16">
        <v>0</v>
      </c>
      <c r="S15" s="14">
        <v>0</v>
      </c>
      <c r="T15" s="16">
        <v>0</v>
      </c>
    </row>
    <row r="16" spans="1:20" x14ac:dyDescent="0.25">
      <c r="A16" s="11" t="s">
        <v>148</v>
      </c>
      <c r="B16" s="13">
        <v>3111</v>
      </c>
      <c r="C16" s="14">
        <f>(2573/B16*100)</f>
        <v>82.706525233044033</v>
      </c>
      <c r="D16" s="15">
        <v>538</v>
      </c>
      <c r="E16" s="14">
        <v>4.9916322400000004</v>
      </c>
      <c r="F16" s="16">
        <v>0.95046664000000003</v>
      </c>
      <c r="G16" s="14">
        <v>72.945242019999995</v>
      </c>
      <c r="H16" s="16">
        <v>2.1704773099999999</v>
      </c>
      <c r="I16" s="14">
        <v>22.06312574</v>
      </c>
      <c r="J16" s="16">
        <v>1.9152889900000001</v>
      </c>
      <c r="K16" s="14" t="s">
        <v>139</v>
      </c>
      <c r="L16" s="16" t="s">
        <v>139</v>
      </c>
      <c r="M16" s="14">
        <v>0</v>
      </c>
      <c r="N16" s="16">
        <v>0</v>
      </c>
      <c r="O16" s="14">
        <v>0</v>
      </c>
      <c r="P16" s="16">
        <v>0</v>
      </c>
      <c r="Q16" s="14">
        <v>0</v>
      </c>
      <c r="R16" s="16">
        <v>0</v>
      </c>
      <c r="S16" s="14">
        <v>0</v>
      </c>
      <c r="T16" s="16">
        <v>0</v>
      </c>
    </row>
    <row r="17" spans="1:20" x14ac:dyDescent="0.25">
      <c r="A17" s="11" t="s">
        <v>149</v>
      </c>
      <c r="B17" s="13">
        <v>3197</v>
      </c>
      <c r="C17" s="14">
        <f>(2627/B17*100)</f>
        <v>82.170785111041596</v>
      </c>
      <c r="D17" s="15">
        <v>570</v>
      </c>
      <c r="E17" s="14">
        <v>3.1902172800000002</v>
      </c>
      <c r="F17" s="16">
        <v>0.76754290000000003</v>
      </c>
      <c r="G17" s="14">
        <v>69.660079870000004</v>
      </c>
      <c r="H17" s="16">
        <v>1.8545123699999999</v>
      </c>
      <c r="I17" s="14">
        <v>27.149702850000001</v>
      </c>
      <c r="J17" s="16">
        <v>1.74509063</v>
      </c>
      <c r="K17" s="14" t="s">
        <v>139</v>
      </c>
      <c r="L17" s="16" t="s">
        <v>139</v>
      </c>
      <c r="M17" s="14">
        <v>0</v>
      </c>
      <c r="N17" s="16">
        <v>0</v>
      </c>
      <c r="O17" s="14">
        <v>0</v>
      </c>
      <c r="P17" s="16">
        <v>0</v>
      </c>
      <c r="Q17" s="14">
        <v>0</v>
      </c>
      <c r="R17" s="16">
        <v>0</v>
      </c>
      <c r="S17" s="14">
        <v>0</v>
      </c>
      <c r="T17" s="16">
        <v>0</v>
      </c>
    </row>
    <row r="18" spans="1:20" x14ac:dyDescent="0.25">
      <c r="A18" s="11" t="s">
        <v>150</v>
      </c>
      <c r="B18" s="13">
        <v>2706</v>
      </c>
      <c r="C18" s="14">
        <f>(2237/B18*100)</f>
        <v>82.668144863266818</v>
      </c>
      <c r="D18" s="15">
        <v>469</v>
      </c>
      <c r="E18" s="14">
        <v>5.50146684</v>
      </c>
      <c r="F18" s="16">
        <v>1.3654747700000001</v>
      </c>
      <c r="G18" s="14">
        <v>75.899788920000006</v>
      </c>
      <c r="H18" s="16">
        <v>1.96554089</v>
      </c>
      <c r="I18" s="14">
        <v>18.598744239999998</v>
      </c>
      <c r="J18" s="16">
        <v>1.7724905799999999</v>
      </c>
      <c r="K18" s="14" t="s">
        <v>139</v>
      </c>
      <c r="L18" s="16" t="s">
        <v>139</v>
      </c>
      <c r="M18" s="14">
        <v>0</v>
      </c>
      <c r="N18" s="16">
        <v>0</v>
      </c>
      <c r="O18" s="14">
        <v>0</v>
      </c>
      <c r="P18" s="16">
        <v>0</v>
      </c>
      <c r="Q18" s="14">
        <v>0</v>
      </c>
      <c r="R18" s="16">
        <v>0</v>
      </c>
      <c r="S18" s="14">
        <v>0</v>
      </c>
      <c r="T18" s="16">
        <v>0</v>
      </c>
    </row>
    <row r="19" spans="1:20" x14ac:dyDescent="0.25">
      <c r="A19" s="11" t="s">
        <v>151</v>
      </c>
      <c r="B19" s="13">
        <v>2850</v>
      </c>
      <c r="C19" s="14">
        <f>(2377/B19*100)</f>
        <v>83.403508771929822</v>
      </c>
      <c r="D19" s="15">
        <v>473</v>
      </c>
      <c r="E19" s="14">
        <v>5.8115204399999998</v>
      </c>
      <c r="F19" s="16">
        <v>1.3338961</v>
      </c>
      <c r="G19" s="14">
        <v>73.078857959999993</v>
      </c>
      <c r="H19" s="16">
        <v>2.0959591099999999</v>
      </c>
      <c r="I19" s="14">
        <v>21.109621600000001</v>
      </c>
      <c r="J19" s="16">
        <v>1.7427191399999999</v>
      </c>
      <c r="K19" s="14" t="s">
        <v>139</v>
      </c>
      <c r="L19" s="16" t="s">
        <v>139</v>
      </c>
      <c r="M19" s="14">
        <v>0</v>
      </c>
      <c r="N19" s="16">
        <v>0</v>
      </c>
      <c r="O19" s="14">
        <v>0</v>
      </c>
      <c r="P19" s="16">
        <v>0</v>
      </c>
      <c r="Q19" s="14">
        <v>0</v>
      </c>
      <c r="R19" s="16">
        <v>0</v>
      </c>
      <c r="S19" s="14">
        <v>0</v>
      </c>
      <c r="T19" s="16">
        <v>0</v>
      </c>
    </row>
    <row r="20" spans="1:20" x14ac:dyDescent="0.25">
      <c r="A20" s="11" t="s">
        <v>152</v>
      </c>
      <c r="B20" s="13">
        <v>1741</v>
      </c>
      <c r="C20" s="14">
        <f>(1443/B20*100)</f>
        <v>82.883400344629521</v>
      </c>
      <c r="D20" s="15">
        <v>298</v>
      </c>
      <c r="E20" s="14">
        <v>4.8802688300000003</v>
      </c>
      <c r="F20" s="16">
        <v>1.1022675099999999</v>
      </c>
      <c r="G20" s="14">
        <v>66.456317299999995</v>
      </c>
      <c r="H20" s="16">
        <v>2.5288710700000001</v>
      </c>
      <c r="I20" s="14">
        <v>28.663413869999999</v>
      </c>
      <c r="J20" s="16">
        <v>2.5274511099999999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(3138/B22*100)</f>
        <v>85.574038723752395</v>
      </c>
      <c r="D22" s="15">
        <v>529</v>
      </c>
      <c r="E22" s="14">
        <v>6.6833000499999997</v>
      </c>
      <c r="F22" s="16">
        <v>1.1683580200000001</v>
      </c>
      <c r="G22" s="14">
        <v>63.777103940000003</v>
      </c>
      <c r="H22" s="16">
        <v>2.5056753299999999</v>
      </c>
      <c r="I22" s="14">
        <v>29.53959601</v>
      </c>
      <c r="J22" s="16">
        <v>2.3447215699999999</v>
      </c>
      <c r="K22" s="14" t="s">
        <v>139</v>
      </c>
      <c r="L22" s="16" t="s">
        <v>139</v>
      </c>
      <c r="M22" s="14">
        <v>0</v>
      </c>
      <c r="N22" s="16">
        <v>0</v>
      </c>
      <c r="O22" s="14">
        <v>0</v>
      </c>
      <c r="P22" s="16">
        <v>0</v>
      </c>
      <c r="Q22" s="14">
        <v>0</v>
      </c>
      <c r="R22" s="16">
        <v>0</v>
      </c>
      <c r="S22" s="14">
        <v>0</v>
      </c>
      <c r="T22" s="16">
        <v>0</v>
      </c>
    </row>
    <row r="23" spans="1:20" x14ac:dyDescent="0.25">
      <c r="A23" s="11" t="s">
        <v>156</v>
      </c>
      <c r="B23" s="13">
        <v>5792</v>
      </c>
      <c r="C23" s="14">
        <f>(4803/B23*100)</f>
        <v>82.924723756906076</v>
      </c>
      <c r="D23" s="15">
        <v>989</v>
      </c>
      <c r="E23" s="14">
        <v>3.8339968799999999</v>
      </c>
      <c r="F23" s="16">
        <v>0.78962019999999999</v>
      </c>
      <c r="G23" s="14">
        <v>73.981342620000007</v>
      </c>
      <c r="H23" s="16">
        <v>1.89675236</v>
      </c>
      <c r="I23" s="14">
        <v>22.1846605</v>
      </c>
      <c r="J23" s="16">
        <v>1.84518234</v>
      </c>
      <c r="K23" s="14" t="s">
        <v>139</v>
      </c>
      <c r="L23" s="16" t="s">
        <v>139</v>
      </c>
      <c r="M23" s="14">
        <v>0</v>
      </c>
      <c r="N23" s="16">
        <v>0</v>
      </c>
      <c r="O23" s="14">
        <v>0</v>
      </c>
      <c r="P23" s="16">
        <v>0</v>
      </c>
      <c r="Q23" s="14">
        <v>0</v>
      </c>
      <c r="R23" s="16">
        <v>0</v>
      </c>
      <c r="S23" s="14">
        <v>0</v>
      </c>
      <c r="T23" s="16">
        <v>0</v>
      </c>
    </row>
    <row r="24" spans="1:20" x14ac:dyDescent="0.25">
      <c r="A24" s="11" t="s">
        <v>157</v>
      </c>
      <c r="B24" s="13">
        <v>3309</v>
      </c>
      <c r="C24" s="14">
        <f>(2724/B24*100)</f>
        <v>82.320942883046229</v>
      </c>
      <c r="D24" s="15">
        <v>585</v>
      </c>
      <c r="E24" s="14">
        <v>3.2971509399999999</v>
      </c>
      <c r="F24" s="16">
        <v>0.71766545999999998</v>
      </c>
      <c r="G24" s="14">
        <v>63.704666160000002</v>
      </c>
      <c r="H24" s="16">
        <v>2.4247339600000002</v>
      </c>
      <c r="I24" s="14">
        <v>32.998182900000003</v>
      </c>
      <c r="J24" s="16">
        <v>2.24134207</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9.4194028099999993</v>
      </c>
      <c r="F25" s="16">
        <v>1.45548346</v>
      </c>
      <c r="G25" s="14">
        <v>54.929262950000002</v>
      </c>
      <c r="H25" s="16">
        <v>2.3161449099999998</v>
      </c>
      <c r="I25" s="14">
        <v>35.651334239999997</v>
      </c>
      <c r="J25" s="16">
        <v>2.4977001400000001</v>
      </c>
      <c r="K25" s="14" t="s">
        <v>139</v>
      </c>
      <c r="L25" s="16" t="s">
        <v>139</v>
      </c>
      <c r="M25" s="14">
        <v>0</v>
      </c>
      <c r="N25" s="16">
        <v>0</v>
      </c>
      <c r="O25" s="14">
        <v>0</v>
      </c>
      <c r="P25" s="16">
        <v>0</v>
      </c>
      <c r="Q25" s="14">
        <v>0</v>
      </c>
      <c r="R25" s="16">
        <v>0</v>
      </c>
      <c r="S25" s="14">
        <v>0</v>
      </c>
      <c r="T25" s="16">
        <v>0</v>
      </c>
    </row>
    <row r="26" spans="1:20" x14ac:dyDescent="0.25">
      <c r="A26" s="11" t="s">
        <v>159</v>
      </c>
      <c r="B26" s="13">
        <v>2419</v>
      </c>
      <c r="C26" s="14">
        <f>(1994/B26*100)</f>
        <v>82.430756510954936</v>
      </c>
      <c r="D26" s="15">
        <v>425</v>
      </c>
      <c r="E26" s="14">
        <v>1.88483961</v>
      </c>
      <c r="F26" s="16">
        <v>0.74176434999999996</v>
      </c>
      <c r="G26" s="14">
        <v>73.224297440000001</v>
      </c>
      <c r="H26" s="16">
        <v>2.18257696</v>
      </c>
      <c r="I26" s="14">
        <v>24.890862949999999</v>
      </c>
      <c r="J26" s="16">
        <v>2.1684793400000002</v>
      </c>
      <c r="K26" s="14" t="s">
        <v>139</v>
      </c>
      <c r="L26" s="16" t="s">
        <v>139</v>
      </c>
      <c r="M26" s="14">
        <v>0</v>
      </c>
      <c r="N26" s="16">
        <v>0</v>
      </c>
      <c r="O26" s="14">
        <v>0</v>
      </c>
      <c r="P26" s="16">
        <v>0</v>
      </c>
      <c r="Q26" s="14">
        <v>0</v>
      </c>
      <c r="R26" s="16">
        <v>0</v>
      </c>
      <c r="S26" s="14">
        <v>0</v>
      </c>
      <c r="T26" s="16">
        <v>0</v>
      </c>
    </row>
    <row r="27" spans="1:20" x14ac:dyDescent="0.25">
      <c r="A27" s="11" t="s">
        <v>160</v>
      </c>
      <c r="B27" s="13">
        <v>2683</v>
      </c>
      <c r="C27" s="14">
        <f>(2228/B27*100)</f>
        <v>83.041371598956388</v>
      </c>
      <c r="D27" s="15">
        <v>455</v>
      </c>
      <c r="E27" s="14">
        <v>4.2360327199999999</v>
      </c>
      <c r="F27" s="16">
        <v>0.93973633000000001</v>
      </c>
      <c r="G27" s="14">
        <v>74.772746159999997</v>
      </c>
      <c r="H27" s="16">
        <v>1.84445108</v>
      </c>
      <c r="I27" s="14">
        <v>20.991221110000001</v>
      </c>
      <c r="J27" s="16">
        <v>1.9492770800000001</v>
      </c>
      <c r="K27" s="14" t="s">
        <v>139</v>
      </c>
      <c r="L27" s="16" t="s">
        <v>139</v>
      </c>
      <c r="M27" s="14">
        <v>0</v>
      </c>
      <c r="N27" s="16">
        <v>0</v>
      </c>
      <c r="O27" s="14">
        <v>0</v>
      </c>
      <c r="P27" s="16">
        <v>0</v>
      </c>
      <c r="Q27" s="14">
        <v>0</v>
      </c>
      <c r="R27" s="16">
        <v>0</v>
      </c>
      <c r="S27" s="14">
        <v>0</v>
      </c>
      <c r="T27" s="16">
        <v>0</v>
      </c>
    </row>
    <row r="28" spans="1:20" x14ac:dyDescent="0.25">
      <c r="A28" s="11" t="s">
        <v>161</v>
      </c>
      <c r="B28" s="13">
        <v>3803</v>
      </c>
      <c r="C28" s="14">
        <f>(3209/B28*100)</f>
        <v>84.380752037864852</v>
      </c>
      <c r="D28" s="15">
        <v>594</v>
      </c>
      <c r="E28" s="14">
        <v>8.7216128600000005</v>
      </c>
      <c r="F28" s="16">
        <v>1.1902900599999999</v>
      </c>
      <c r="G28" s="14">
        <v>77.214595689999996</v>
      </c>
      <c r="H28" s="16">
        <v>1.99340823</v>
      </c>
      <c r="I28" s="14">
        <v>14.06379145</v>
      </c>
      <c r="J28" s="16">
        <v>1.5576127</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(2265/B29*100)</f>
        <v>83.888888888888886</v>
      </c>
      <c r="D29" s="15">
        <v>435</v>
      </c>
      <c r="E29" s="14">
        <v>3.5863007499999999</v>
      </c>
      <c r="F29" s="16">
        <v>0.88869217</v>
      </c>
      <c r="G29" s="14">
        <v>68.732540130000004</v>
      </c>
      <c r="H29" s="16">
        <v>2.42021555</v>
      </c>
      <c r="I29" s="14">
        <v>27.681159109999999</v>
      </c>
      <c r="J29" s="16">
        <v>2.2965233399999998</v>
      </c>
      <c r="K29" s="14" t="s">
        <v>139</v>
      </c>
      <c r="L29" s="16" t="s">
        <v>139</v>
      </c>
      <c r="M29" s="14">
        <v>0</v>
      </c>
      <c r="N29" s="16">
        <v>0</v>
      </c>
      <c r="O29" s="14">
        <v>0</v>
      </c>
      <c r="P29" s="16">
        <v>0</v>
      </c>
      <c r="Q29" s="14">
        <v>0</v>
      </c>
      <c r="R29" s="16">
        <v>0</v>
      </c>
      <c r="S29" s="14">
        <v>0</v>
      </c>
      <c r="T29" s="16">
        <v>0</v>
      </c>
    </row>
    <row r="30" spans="1:20" x14ac:dyDescent="0.25">
      <c r="A30" s="11" t="s">
        <v>163</v>
      </c>
      <c r="B30" s="13">
        <v>2257</v>
      </c>
      <c r="C30" s="14">
        <f>(1911/B30*100)</f>
        <v>84.669915817456797</v>
      </c>
      <c r="D30" s="15">
        <v>346</v>
      </c>
      <c r="E30" s="14">
        <v>6.1666353100000002</v>
      </c>
      <c r="F30" s="16">
        <v>1.3422830800000001</v>
      </c>
      <c r="G30" s="14">
        <v>59.987812589999997</v>
      </c>
      <c r="H30" s="16">
        <v>2.8907783899999999</v>
      </c>
      <c r="I30" s="14">
        <v>33.845552099999999</v>
      </c>
      <c r="J30" s="16">
        <v>2.7944492599999999</v>
      </c>
      <c r="K30" s="14" t="s">
        <v>139</v>
      </c>
      <c r="L30" s="16" t="s">
        <v>139</v>
      </c>
      <c r="M30" s="14">
        <v>0</v>
      </c>
      <c r="N30" s="16">
        <v>0</v>
      </c>
      <c r="O30" s="14">
        <v>0</v>
      </c>
      <c r="P30" s="16">
        <v>0</v>
      </c>
      <c r="Q30" s="14">
        <v>0</v>
      </c>
      <c r="R30" s="16">
        <v>0</v>
      </c>
      <c r="S30" s="14">
        <v>0</v>
      </c>
      <c r="T30" s="16">
        <v>0</v>
      </c>
    </row>
    <row r="31" spans="1:20" x14ac:dyDescent="0.25">
      <c r="A31" s="11" t="s">
        <v>164</v>
      </c>
      <c r="B31" s="13">
        <v>2706</v>
      </c>
      <c r="C31" s="14">
        <f>(2247/B31*100)</f>
        <v>83.037694013303764</v>
      </c>
      <c r="D31" s="15">
        <v>459</v>
      </c>
      <c r="E31" s="14">
        <v>1.7148151</v>
      </c>
      <c r="F31" s="16">
        <v>0.62196629000000003</v>
      </c>
      <c r="G31" s="14">
        <v>68.425938059999993</v>
      </c>
      <c r="H31" s="16">
        <v>2.4821964200000002</v>
      </c>
      <c r="I31" s="14">
        <v>29.859246840000001</v>
      </c>
      <c r="J31" s="16">
        <v>2.4349493400000002</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(3051/B33*100)</f>
        <v>83.566146261298286</v>
      </c>
      <c r="D33" s="15">
        <v>600</v>
      </c>
      <c r="E33" s="14">
        <v>3.13920165</v>
      </c>
      <c r="F33" s="16">
        <v>0.65136835000000004</v>
      </c>
      <c r="G33" s="14">
        <v>74.602945419999998</v>
      </c>
      <c r="H33" s="16">
        <v>1.86069094</v>
      </c>
      <c r="I33" s="14">
        <v>22.257852929999999</v>
      </c>
      <c r="J33" s="16">
        <v>1.71724896</v>
      </c>
      <c r="K33" s="14" t="s">
        <v>139</v>
      </c>
      <c r="L33" s="16" t="s">
        <v>139</v>
      </c>
      <c r="M33" s="14">
        <v>0</v>
      </c>
      <c r="N33" s="16">
        <v>0</v>
      </c>
      <c r="O33" s="14">
        <v>0</v>
      </c>
      <c r="P33" s="16">
        <v>0</v>
      </c>
      <c r="Q33" s="14">
        <v>0</v>
      </c>
      <c r="R33" s="16">
        <v>0</v>
      </c>
      <c r="S33" s="14">
        <v>0</v>
      </c>
      <c r="T33" s="16">
        <v>0</v>
      </c>
    </row>
    <row r="34" spans="1:20" x14ac:dyDescent="0.25">
      <c r="A34" s="11" t="s">
        <v>167</v>
      </c>
      <c r="B34" s="13">
        <v>3035</v>
      </c>
      <c r="C34" s="14">
        <f>(2544/B34*100)</f>
        <v>83.82207578253707</v>
      </c>
      <c r="D34" s="15">
        <v>491</v>
      </c>
      <c r="E34" s="14">
        <v>5.40933302</v>
      </c>
      <c r="F34" s="16">
        <v>0.99167450000000001</v>
      </c>
      <c r="G34" s="14">
        <v>80.260588130000002</v>
      </c>
      <c r="H34" s="16">
        <v>1.6619871900000001</v>
      </c>
      <c r="I34" s="14">
        <v>14.33007885</v>
      </c>
      <c r="J34" s="16">
        <v>1.37410901</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(2422/B35*100)</f>
        <v>83.488452257842127</v>
      </c>
      <c r="D35" s="15">
        <v>479</v>
      </c>
      <c r="E35" s="14">
        <v>7.1065564200000004</v>
      </c>
      <c r="F35" s="16">
        <v>1.46170702</v>
      </c>
      <c r="G35" s="14">
        <v>65.487863270000005</v>
      </c>
      <c r="H35" s="16">
        <v>2.7706543699999999</v>
      </c>
      <c r="I35" s="14">
        <v>27.4055803</v>
      </c>
      <c r="J35" s="16">
        <v>2.54715581</v>
      </c>
      <c r="K35" s="14" t="s">
        <v>139</v>
      </c>
      <c r="L35" s="16" t="s">
        <v>139</v>
      </c>
      <c r="M35" s="14">
        <v>0</v>
      </c>
      <c r="N35" s="16">
        <v>0</v>
      </c>
      <c r="O35" s="14">
        <v>0</v>
      </c>
      <c r="P35" s="16">
        <v>0</v>
      </c>
      <c r="Q35" s="14">
        <v>0</v>
      </c>
      <c r="R35" s="16">
        <v>0</v>
      </c>
      <c r="S35" s="14">
        <v>0</v>
      </c>
      <c r="T35" s="16">
        <v>0</v>
      </c>
    </row>
    <row r="36" spans="1:20" x14ac:dyDescent="0.25">
      <c r="A36" s="11" t="s">
        <v>169</v>
      </c>
      <c r="B36" s="13">
        <v>3404</v>
      </c>
      <c r="C36" s="14">
        <f>(2843/B36*100)</f>
        <v>83.519388954171561</v>
      </c>
      <c r="D36" s="15">
        <v>561</v>
      </c>
      <c r="E36" s="14">
        <v>3.6881962800000001</v>
      </c>
      <c r="F36" s="16">
        <v>0.93973565000000003</v>
      </c>
      <c r="G36" s="14">
        <v>61.618265170000001</v>
      </c>
      <c r="H36" s="16">
        <v>1.9361973400000001</v>
      </c>
      <c r="I36" s="14">
        <v>34.69353855</v>
      </c>
      <c r="J36" s="16">
        <v>2.0916749499999998</v>
      </c>
      <c r="K36" s="14" t="s">
        <v>139</v>
      </c>
      <c r="L36" s="16" t="s">
        <v>139</v>
      </c>
      <c r="M36" s="14">
        <v>0</v>
      </c>
      <c r="N36" s="16">
        <v>0</v>
      </c>
      <c r="O36" s="14">
        <v>0</v>
      </c>
      <c r="P36" s="16">
        <v>0</v>
      </c>
      <c r="Q36" s="14">
        <v>0</v>
      </c>
      <c r="R36" s="16">
        <v>0</v>
      </c>
      <c r="S36" s="14">
        <v>0</v>
      </c>
      <c r="T36" s="16">
        <v>0</v>
      </c>
    </row>
    <row r="37" spans="1:20" x14ac:dyDescent="0.25">
      <c r="A37" s="11" t="s">
        <v>170</v>
      </c>
      <c r="B37" s="13">
        <v>2731</v>
      </c>
      <c r="C37" s="14">
        <f>(2280/B37*100)</f>
        <v>83.485902599780303</v>
      </c>
      <c r="D37" s="15">
        <v>451</v>
      </c>
      <c r="E37" s="14">
        <v>3.2170333499999999</v>
      </c>
      <c r="F37" s="16">
        <v>0.77918233000000003</v>
      </c>
      <c r="G37" s="14">
        <v>65.864182380000003</v>
      </c>
      <c r="H37" s="16">
        <v>2.0920620599999999</v>
      </c>
      <c r="I37" s="14">
        <v>30.91878427</v>
      </c>
      <c r="J37" s="16">
        <v>2.0740166599999998</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(2414/B39*100)</f>
        <v>82.164737916950301</v>
      </c>
      <c r="D39" s="15">
        <v>524</v>
      </c>
      <c r="E39" s="14">
        <v>7.5520078499999999</v>
      </c>
      <c r="F39" s="16">
        <v>1.41458156</v>
      </c>
      <c r="G39" s="14">
        <v>78.567515749999998</v>
      </c>
      <c r="H39" s="16">
        <v>2.0700234200000001</v>
      </c>
      <c r="I39" s="14">
        <v>13.880476399999999</v>
      </c>
      <c r="J39" s="16">
        <v>1.5038773700000001</v>
      </c>
      <c r="K39" s="14" t="s">
        <v>139</v>
      </c>
      <c r="L39" s="16" t="s">
        <v>139</v>
      </c>
      <c r="M39" s="14">
        <v>0</v>
      </c>
      <c r="N39" s="16">
        <v>0</v>
      </c>
      <c r="O39" s="14">
        <v>0</v>
      </c>
      <c r="P39" s="16">
        <v>0</v>
      </c>
      <c r="Q39" s="14">
        <v>0</v>
      </c>
      <c r="R39" s="16">
        <v>0</v>
      </c>
      <c r="S39" s="14">
        <v>0</v>
      </c>
      <c r="T39" s="16">
        <v>0</v>
      </c>
    </row>
    <row r="40" spans="1:20" x14ac:dyDescent="0.25">
      <c r="A40" s="11" t="s">
        <v>173</v>
      </c>
      <c r="B40" s="13">
        <v>6922</v>
      </c>
      <c r="C40" s="14">
        <f>(5740/B40*100)</f>
        <v>82.924010401618034</v>
      </c>
      <c r="D40" s="15">
        <v>1182</v>
      </c>
      <c r="E40" s="14">
        <v>9.8634175600000003</v>
      </c>
      <c r="F40" s="16">
        <v>1.34740506</v>
      </c>
      <c r="G40" s="14">
        <v>55.268781949999997</v>
      </c>
      <c r="H40" s="16">
        <v>2.4775254200000001</v>
      </c>
      <c r="I40" s="14">
        <v>34.86780049</v>
      </c>
      <c r="J40" s="16">
        <v>2.35341807</v>
      </c>
      <c r="K40" s="14" t="s">
        <v>139</v>
      </c>
      <c r="L40" s="16" t="s">
        <v>139</v>
      </c>
      <c r="M40" s="14">
        <v>0</v>
      </c>
      <c r="N40" s="16">
        <v>0</v>
      </c>
      <c r="O40" s="14">
        <v>0</v>
      </c>
      <c r="P40" s="16">
        <v>0</v>
      </c>
      <c r="Q40" s="14">
        <v>0</v>
      </c>
      <c r="R40" s="16">
        <v>0</v>
      </c>
      <c r="S40" s="14">
        <v>0</v>
      </c>
      <c r="T40" s="16">
        <v>0</v>
      </c>
    </row>
    <row r="41" spans="1:20" x14ac:dyDescent="0.25">
      <c r="A41" s="11" t="s">
        <v>174</v>
      </c>
      <c r="B41" s="13">
        <v>2854</v>
      </c>
      <c r="C41" s="14">
        <f>(2356/B41*100)</f>
        <v>82.550805886475118</v>
      </c>
      <c r="D41" s="15">
        <v>498</v>
      </c>
      <c r="E41" s="14">
        <v>8.6546919599999992</v>
      </c>
      <c r="F41" s="16">
        <v>1.5677300300000001</v>
      </c>
      <c r="G41" s="14">
        <v>62.128488169999997</v>
      </c>
      <c r="H41" s="16">
        <v>2.3660625300000002</v>
      </c>
      <c r="I41" s="14">
        <v>29.216819869999998</v>
      </c>
      <c r="J41" s="16">
        <v>2.2148867700000001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83.213859190561493</v>
      </c>
      <c r="D42" s="15">
        <f>IF(COUNT(D7:D41) &gt; 0, AVERAGE(D7:D41), "—")</f>
        <v>606.40625</v>
      </c>
      <c r="E42" s="14">
        <f>IF(COUNT(E7:E41) &gt; 0, AVERAGE(E7:E41), "—")</f>
        <v>4.9867860459375004</v>
      </c>
      <c r="F42" s="16">
        <f>IF(COUNT(F7:F41) &gt; 0, SQRT(SUMSQ(F7:F41)/(COUNT(F7:F41)*COUNT(F7:F41)) ), "—")</f>
        <v>0.18385017837076886</v>
      </c>
      <c r="G42" s="14">
        <f>IF(COUNT(G7:G41) &gt; 0, AVERAGE(G7:G41), "—")</f>
        <v>67.264861882812497</v>
      </c>
      <c r="H42" s="16">
        <f>IF(COUNT(H7:H41) &gt; 0, SQRT(SUMSQ(H7:H41)/(COUNT(H7:H41)*COUNT(H7:H41)) ), "—")</f>
        <v>0.37748417231404841</v>
      </c>
      <c r="I42" s="14">
        <f>IF(COUNT(I7:I41) &gt; 0, AVERAGE(I7:I41), "—")</f>
        <v>27.748352070312496</v>
      </c>
      <c r="J42" s="16">
        <f>IF(COUNT(J7:J41) &gt; 0, SQRT(SUMSQ(J7:J41)/(COUNT(J7:J41)*COUNT(J7:J41)) ), "—")</f>
        <v>0.35873689277526272</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(10528/B46*100)</f>
        <v>87.2028493332229</v>
      </c>
      <c r="D46" s="15">
        <v>1545</v>
      </c>
      <c r="E46" s="14">
        <v>8.0476624000000001</v>
      </c>
      <c r="F46" s="16">
        <v>0.96733272999999997</v>
      </c>
      <c r="G46" s="14">
        <v>83.699909349999999</v>
      </c>
      <c r="H46" s="16">
        <v>1.4504281999999999</v>
      </c>
      <c r="I46" s="14">
        <v>8.2524282499999995</v>
      </c>
      <c r="J46" s="16">
        <v>0.96110603999999999</v>
      </c>
      <c r="K46" s="14" t="s">
        <v>139</v>
      </c>
      <c r="L46" s="16" t="s">
        <v>139</v>
      </c>
      <c r="M46" s="14">
        <v>0</v>
      </c>
      <c r="N46" s="16">
        <v>0</v>
      </c>
      <c r="O46" s="14">
        <v>0</v>
      </c>
      <c r="P46" s="16">
        <v>0</v>
      </c>
      <c r="Q46" s="14">
        <v>0</v>
      </c>
      <c r="R46" s="16">
        <v>0</v>
      </c>
      <c r="S46" s="14">
        <v>0</v>
      </c>
      <c r="T46" s="16">
        <v>0</v>
      </c>
    </row>
    <row r="47" spans="1:20" x14ac:dyDescent="0.25">
      <c r="A47" s="11" t="s">
        <v>180</v>
      </c>
      <c r="B47" s="13">
        <v>2823</v>
      </c>
      <c r="C47" s="14">
        <f>(2353/B47*100)</f>
        <v>83.351044987601838</v>
      </c>
      <c r="D47" s="15">
        <v>470</v>
      </c>
      <c r="E47" s="14">
        <v>6.1293982900000001</v>
      </c>
      <c r="F47" s="16">
        <v>1.3780218399999999</v>
      </c>
      <c r="G47" s="14">
        <v>76.21781824</v>
      </c>
      <c r="H47" s="16">
        <v>2.1227434199999999</v>
      </c>
      <c r="I47" s="14">
        <v>17.652783469999999</v>
      </c>
      <c r="J47" s="16">
        <v>1.69112928</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(3888/B48*100)</f>
        <v>83.041435284066637</v>
      </c>
      <c r="D48" s="15">
        <v>794</v>
      </c>
      <c r="E48" s="14">
        <v>5.8163018600000003</v>
      </c>
      <c r="F48" s="16">
        <v>0.98204080999999999</v>
      </c>
      <c r="G48" s="14">
        <v>54.331361090000001</v>
      </c>
      <c r="H48" s="16">
        <v>2.3345299900000001</v>
      </c>
      <c r="I48" s="14">
        <v>39.852337040000002</v>
      </c>
      <c r="J48" s="16">
        <v>2.3266338499999999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(5168/B50*100)</f>
        <v>83.923351737577136</v>
      </c>
      <c r="D50" s="15">
        <v>990</v>
      </c>
      <c r="E50" s="14">
        <v>6.6898473899999997</v>
      </c>
      <c r="F50" s="16">
        <v>1.0659228199999999</v>
      </c>
      <c r="G50" s="14">
        <v>72.781104150000004</v>
      </c>
      <c r="H50" s="16">
        <v>1.8135501999999999</v>
      </c>
      <c r="I50" s="14">
        <v>20.529048459999998</v>
      </c>
      <c r="J50" s="16">
        <v>1.5412339900000001</v>
      </c>
      <c r="K50" s="14" t="s">
        <v>139</v>
      </c>
      <c r="L50" s="16" t="s">
        <v>139</v>
      </c>
      <c r="M50" s="14">
        <v>0</v>
      </c>
      <c r="N50" s="16">
        <v>0</v>
      </c>
      <c r="O50" s="14">
        <v>0</v>
      </c>
      <c r="P50" s="16">
        <v>0</v>
      </c>
      <c r="Q50" s="14">
        <v>0</v>
      </c>
      <c r="R50" s="16">
        <v>0</v>
      </c>
      <c r="S50" s="14">
        <v>0</v>
      </c>
      <c r="T50" s="16">
        <v>0</v>
      </c>
    </row>
    <row r="51" spans="1:20" x14ac:dyDescent="0.25">
      <c r="A51" s="11" t="s">
        <v>184</v>
      </c>
      <c r="B51" s="13">
        <v>3494</v>
      </c>
      <c r="C51" s="14">
        <f>(3000/B51*100)</f>
        <v>85.861476817401268</v>
      </c>
      <c r="D51" s="15">
        <v>494</v>
      </c>
      <c r="E51" s="14">
        <v>4.9096348499999998</v>
      </c>
      <c r="F51" s="16">
        <v>1.02002317</v>
      </c>
      <c r="G51" s="14">
        <v>76.581338540000004</v>
      </c>
      <c r="H51" s="16">
        <v>2.0103630899999998</v>
      </c>
      <c r="I51" s="14">
        <v>18.509026609999999</v>
      </c>
      <c r="J51" s="16">
        <v>1.87693401</v>
      </c>
      <c r="K51" s="14" t="s">
        <v>139</v>
      </c>
      <c r="L51" s="16" t="s">
        <v>139</v>
      </c>
      <c r="M51" s="14">
        <v>0</v>
      </c>
      <c r="N51" s="16">
        <v>0</v>
      </c>
      <c r="O51" s="14">
        <v>0</v>
      </c>
      <c r="P51" s="16">
        <v>0</v>
      </c>
      <c r="Q51" s="14">
        <v>0</v>
      </c>
      <c r="R51" s="16">
        <v>0</v>
      </c>
      <c r="S51" s="14">
        <v>0</v>
      </c>
      <c r="T51" s="16">
        <v>0</v>
      </c>
    </row>
    <row r="52" spans="1:20" x14ac:dyDescent="0.25">
      <c r="A52" s="11" t="s">
        <v>185</v>
      </c>
      <c r="B52" s="13">
        <v>3013</v>
      </c>
      <c r="C52" s="14">
        <f>(2499/B52*100)</f>
        <v>82.940590773315634</v>
      </c>
      <c r="D52" s="15">
        <v>514</v>
      </c>
      <c r="E52" s="14">
        <v>2.9877138699999999</v>
      </c>
      <c r="F52" s="16">
        <v>0.82261640000000003</v>
      </c>
      <c r="G52" s="14">
        <v>77.991435080000002</v>
      </c>
      <c r="H52" s="16">
        <v>2.4389847800000002</v>
      </c>
      <c r="I52" s="14">
        <v>19.020851050000001</v>
      </c>
      <c r="J52" s="16">
        <v>2.14295854</v>
      </c>
      <c r="K52" s="14" t="s">
        <v>139</v>
      </c>
      <c r="L52" s="16" t="s">
        <v>139</v>
      </c>
      <c r="M52" s="14">
        <v>0</v>
      </c>
      <c r="N52" s="16">
        <v>0</v>
      </c>
      <c r="O52" s="14">
        <v>0</v>
      </c>
      <c r="P52" s="16">
        <v>0</v>
      </c>
      <c r="Q52" s="14">
        <v>0</v>
      </c>
      <c r="R52" s="16">
        <v>0</v>
      </c>
      <c r="S52" s="14">
        <v>0</v>
      </c>
      <c r="T52" s="16">
        <v>0</v>
      </c>
    </row>
    <row r="53" spans="1:20" x14ac:dyDescent="0.25">
      <c r="A53" s="11" t="s">
        <v>186</v>
      </c>
      <c r="B53" s="13">
        <v>2760</v>
      </c>
      <c r="C53" s="14">
        <f>(2316/B53*100)</f>
        <v>83.913043478260875</v>
      </c>
      <c r="D53" s="15">
        <v>444</v>
      </c>
      <c r="E53" s="14">
        <v>6.97837671</v>
      </c>
      <c r="F53" s="16">
        <v>1.24017153</v>
      </c>
      <c r="G53" s="14">
        <v>73.597312830000007</v>
      </c>
      <c r="H53" s="16">
        <v>2.01300692</v>
      </c>
      <c r="I53" s="14">
        <v>19.424310460000001</v>
      </c>
      <c r="J53" s="16">
        <v>1.9739450999999999</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(2209/B56*100)</f>
        <v>82.579439252336456</v>
      </c>
      <c r="D56" s="15">
        <v>466</v>
      </c>
      <c r="E56" s="14">
        <v>5.0888631899999996</v>
      </c>
      <c r="F56" s="16">
        <v>1.1242570300000001</v>
      </c>
      <c r="G56" s="14">
        <v>51.040691000000002</v>
      </c>
      <c r="H56" s="16">
        <v>2.5236931999999999</v>
      </c>
      <c r="I56" s="14">
        <v>43.87044581</v>
      </c>
      <c r="J56" s="16">
        <v>2.5128055499999999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(2653/B61*100)</f>
        <v>82.880349890659161</v>
      </c>
      <c r="D61" s="15">
        <v>548</v>
      </c>
      <c r="E61" s="14">
        <v>2.8333678999999998</v>
      </c>
      <c r="F61" s="16">
        <v>0.79868525999999995</v>
      </c>
      <c r="G61" s="14">
        <v>81.717472799999996</v>
      </c>
      <c r="H61" s="16">
        <v>1.5567634299999999</v>
      </c>
      <c r="I61" s="14">
        <v>15.4491593</v>
      </c>
      <c r="J61" s="16">
        <v>1.41184456</v>
      </c>
      <c r="K61" s="14" t="s">
        <v>139</v>
      </c>
      <c r="L61" s="16" t="s">
        <v>139</v>
      </c>
      <c r="M61" s="14">
        <v>0</v>
      </c>
      <c r="N61" s="16">
        <v>0</v>
      </c>
      <c r="O61" s="14">
        <v>0</v>
      </c>
      <c r="P61" s="16">
        <v>0</v>
      </c>
      <c r="Q61" s="14">
        <v>0</v>
      </c>
      <c r="R61" s="16">
        <v>0</v>
      </c>
      <c r="S61" s="14">
        <v>0</v>
      </c>
      <c r="T61" s="16">
        <v>0</v>
      </c>
    </row>
    <row r="62" spans="1:20" x14ac:dyDescent="0.25">
      <c r="A62" s="11" t="s">
        <v>195</v>
      </c>
      <c r="B62" s="13">
        <v>2230</v>
      </c>
      <c r="C62" s="14">
        <f>(1860/B62*100)</f>
        <v>83.408071748878925</v>
      </c>
      <c r="D62" s="15">
        <v>370</v>
      </c>
      <c r="E62" s="14">
        <v>5.66851825</v>
      </c>
      <c r="F62" s="16">
        <v>1.14827067</v>
      </c>
      <c r="G62" s="14">
        <v>49.211556450000003</v>
      </c>
      <c r="H62" s="16">
        <v>2.6928685699999999</v>
      </c>
      <c r="I62" s="14">
        <v>45.119925309999999</v>
      </c>
      <c r="J62" s="16">
        <v>2.6978654400000002</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(2300/B66*100)</f>
        <v>83.002526163839775</v>
      </c>
      <c r="D66" s="15">
        <v>471</v>
      </c>
      <c r="E66" s="14">
        <v>5.8502157600000002</v>
      </c>
      <c r="F66" s="16">
        <v>0.99054386000000005</v>
      </c>
      <c r="G66" s="14">
        <v>81.760437479999993</v>
      </c>
      <c r="H66" s="16">
        <v>1.87458692</v>
      </c>
      <c r="I66" s="14">
        <v>12.38934675</v>
      </c>
      <c r="J66" s="16">
        <v>1.57555142</v>
      </c>
      <c r="K66" s="14" t="s">
        <v>139</v>
      </c>
      <c r="L66" s="16" t="s">
        <v>139</v>
      </c>
      <c r="M66" s="14">
        <v>0</v>
      </c>
      <c r="N66" s="16">
        <v>0</v>
      </c>
      <c r="O66" s="14">
        <v>0</v>
      </c>
      <c r="P66" s="16">
        <v>0</v>
      </c>
      <c r="Q66" s="14">
        <v>0</v>
      </c>
      <c r="R66" s="16">
        <v>0</v>
      </c>
      <c r="S66" s="14">
        <v>0</v>
      </c>
      <c r="T66" s="16">
        <v>0</v>
      </c>
    </row>
    <row r="67" spans="1:20" x14ac:dyDescent="0.25">
      <c r="A67" s="11" t="s">
        <v>200</v>
      </c>
      <c r="B67" s="13">
        <v>3460</v>
      </c>
      <c r="C67" s="14">
        <f>(2969/B67*100)</f>
        <v>85.809248554913296</v>
      </c>
      <c r="D67" s="15">
        <v>491</v>
      </c>
      <c r="E67" s="14">
        <v>9.9091401000000001</v>
      </c>
      <c r="F67" s="16">
        <v>1.3290758600000001</v>
      </c>
      <c r="G67" s="14">
        <v>65.868418779999999</v>
      </c>
      <c r="H67" s="16">
        <v>2.1558112199999999</v>
      </c>
      <c r="I67" s="14">
        <v>24.222441119999999</v>
      </c>
      <c r="J67" s="16">
        <v>2.0313564899999998</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(2579/B70*100)</f>
        <v>83.006115223688454</v>
      </c>
      <c r="D70" s="15">
        <v>528</v>
      </c>
      <c r="E70" s="14">
        <v>3.8565039400000001</v>
      </c>
      <c r="F70" s="16">
        <v>0.90098738</v>
      </c>
      <c r="G70" s="14">
        <v>79.288293949999996</v>
      </c>
      <c r="H70" s="16">
        <v>1.98933257</v>
      </c>
      <c r="I70" s="14">
        <v>16.8552021</v>
      </c>
      <c r="J70" s="16">
        <v>2.1972744</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(3156/B72*100)</f>
        <v>82.639434406912798</v>
      </c>
      <c r="D72" s="15">
        <v>663</v>
      </c>
      <c r="E72" s="14">
        <v>6.80827472</v>
      </c>
      <c r="F72" s="16">
        <v>0.81768869</v>
      </c>
      <c r="G72" s="14">
        <v>56.964656390000002</v>
      </c>
      <c r="H72" s="16">
        <v>1.77785777</v>
      </c>
      <c r="I72" s="14">
        <v>36.227068879999997</v>
      </c>
      <c r="J72" s="16">
        <v>1.8886409</v>
      </c>
      <c r="K72" s="14" t="s">
        <v>139</v>
      </c>
      <c r="L72" s="16" t="s">
        <v>139</v>
      </c>
      <c r="M72" s="14">
        <v>0</v>
      </c>
      <c r="N72" s="16">
        <v>0</v>
      </c>
      <c r="O72" s="14">
        <v>0</v>
      </c>
      <c r="P72" s="16">
        <v>0</v>
      </c>
      <c r="Q72" s="14">
        <v>0</v>
      </c>
      <c r="R72" s="16">
        <v>0</v>
      </c>
      <c r="S72" s="14">
        <v>0</v>
      </c>
      <c r="T72" s="16">
        <v>0</v>
      </c>
    </row>
    <row r="73" spans="1:20" x14ac:dyDescent="0.25">
      <c r="A73" s="11" t="s">
        <v>206</v>
      </c>
      <c r="B73" s="13">
        <v>4652</v>
      </c>
      <c r="C73" s="14">
        <f>(3927/B73*100)</f>
        <v>84.41530524505589</v>
      </c>
      <c r="D73" s="15">
        <v>725</v>
      </c>
      <c r="E73" s="14">
        <v>17.177408159999999</v>
      </c>
      <c r="F73" s="16">
        <v>1.6288745200000001</v>
      </c>
      <c r="G73" s="14">
        <v>63.128476499999998</v>
      </c>
      <c r="H73" s="16">
        <v>2.0582125699999998</v>
      </c>
      <c r="I73" s="14">
        <v>19.69411534</v>
      </c>
      <c r="J73" s="16">
        <v>1.7998096800000001</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(2524/B75*100)</f>
        <v>85.011788480970012</v>
      </c>
      <c r="D75" s="15">
        <v>445</v>
      </c>
      <c r="E75" s="14">
        <v>14.84195916</v>
      </c>
      <c r="F75" s="16">
        <v>1.5085089</v>
      </c>
      <c r="G75" s="14">
        <v>67.294513010000003</v>
      </c>
      <c r="H75" s="16">
        <v>2.4375475999999998</v>
      </c>
      <c r="I75" s="14">
        <v>17.863527829999999</v>
      </c>
      <c r="J75" s="16">
        <v>1.9015438600000001</v>
      </c>
      <c r="K75" s="14" t="s">
        <v>139</v>
      </c>
      <c r="L75" s="16" t="s">
        <v>139</v>
      </c>
      <c r="M75" s="14">
        <v>0</v>
      </c>
      <c r="N75" s="16">
        <v>0</v>
      </c>
      <c r="O75" s="14">
        <v>0</v>
      </c>
      <c r="P75" s="16">
        <v>0</v>
      </c>
      <c r="Q75" s="14">
        <v>0</v>
      </c>
      <c r="R75" s="16">
        <v>0</v>
      </c>
      <c r="S75" s="14">
        <v>0</v>
      </c>
      <c r="T75" s="16">
        <v>0</v>
      </c>
    </row>
    <row r="76" spans="1:20" x14ac:dyDescent="0.25">
      <c r="A76" s="11" t="s">
        <v>209</v>
      </c>
      <c r="B76" s="13">
        <v>7115</v>
      </c>
      <c r="C76" s="14">
        <f>(5913/B76*100)</f>
        <v>83.106113843991565</v>
      </c>
      <c r="D76" s="15">
        <v>1202</v>
      </c>
      <c r="E76" s="14">
        <v>7.6718771099999996</v>
      </c>
      <c r="F76" s="16">
        <v>0.88134780999999995</v>
      </c>
      <c r="G76" s="14">
        <v>73.072513860000001</v>
      </c>
      <c r="H76" s="16">
        <v>1.7911197999999999</v>
      </c>
      <c r="I76" s="14">
        <v>19.25560904</v>
      </c>
      <c r="J76" s="16">
        <v>1.46685771</v>
      </c>
      <c r="K76" s="14" t="s">
        <v>139</v>
      </c>
      <c r="L76" s="16" t="s">
        <v>139</v>
      </c>
      <c r="M76" s="14">
        <v>0</v>
      </c>
      <c r="N76" s="16">
        <v>0</v>
      </c>
      <c r="O76" s="14">
        <v>0</v>
      </c>
      <c r="P76" s="16">
        <v>0</v>
      </c>
      <c r="Q76" s="14">
        <v>0</v>
      </c>
      <c r="R76" s="16">
        <v>0</v>
      </c>
      <c r="S76" s="14">
        <v>0</v>
      </c>
      <c r="T76" s="16">
        <v>0</v>
      </c>
    </row>
    <row r="77" spans="1:20" x14ac:dyDescent="0.25">
      <c r="A77" s="11" t="s">
        <v>210</v>
      </c>
      <c r="B77" s="13">
        <v>3154</v>
      </c>
      <c r="C77" s="14">
        <f>(2638/B77*100)</f>
        <v>83.639822447685475</v>
      </c>
      <c r="D77" s="15">
        <v>516</v>
      </c>
      <c r="E77" s="14">
        <v>5.4066670700000001</v>
      </c>
      <c r="F77" s="16">
        <v>1.0645942100000001</v>
      </c>
      <c r="G77" s="14">
        <v>74.487936680000004</v>
      </c>
      <c r="H77" s="16">
        <v>1.77102765</v>
      </c>
      <c r="I77" s="14">
        <v>20.105396249999998</v>
      </c>
      <c r="J77" s="16">
        <v>1.6051691400000001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(3899/B81*100)</f>
        <v>82.992762877820354</v>
      </c>
      <c r="D81" s="15">
        <v>799</v>
      </c>
      <c r="E81" s="14">
        <v>6.7225660500000002</v>
      </c>
      <c r="F81" s="16">
        <v>1.20255672</v>
      </c>
      <c r="G81" s="14">
        <v>69.834192150000007</v>
      </c>
      <c r="H81" s="16">
        <v>2.1829509599999999</v>
      </c>
      <c r="I81" s="14">
        <v>23.443241789999998</v>
      </c>
      <c r="J81" s="16">
        <v>2.01419478</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338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(5948/B7*100)</f>
        <v>83.037833310065608</v>
      </c>
      <c r="D7" s="15">
        <v>1215</v>
      </c>
      <c r="E7" s="14">
        <v>18.578968509999999</v>
      </c>
      <c r="F7" s="16">
        <v>1.3174183799999999</v>
      </c>
      <c r="G7" s="14">
        <v>81.421031490000004</v>
      </c>
      <c r="H7" s="16">
        <v>1.3174183799999999</v>
      </c>
      <c r="I7" s="14" t="s">
        <v>139</v>
      </c>
      <c r="J7" s="16" t="s">
        <v>139</v>
      </c>
      <c r="K7" s="14">
        <v>0</v>
      </c>
      <c r="L7" s="16">
        <v>0</v>
      </c>
      <c r="M7" s="14">
        <v>0</v>
      </c>
      <c r="N7" s="16">
        <v>0</v>
      </c>
      <c r="O7" s="14">
        <v>0</v>
      </c>
      <c r="P7" s="16">
        <v>0</v>
      </c>
      <c r="Q7" s="14">
        <v>0</v>
      </c>
      <c r="R7" s="16">
        <v>0</v>
      </c>
    </row>
    <row r="8" spans="1:18" x14ac:dyDescent="0.25">
      <c r="A8" s="11" t="s">
        <v>140</v>
      </c>
      <c r="B8" s="13">
        <v>3443</v>
      </c>
      <c r="C8" s="14">
        <f>(2835/B8*100)</f>
        <v>82.340981702004072</v>
      </c>
      <c r="D8" s="15">
        <v>608</v>
      </c>
      <c r="E8" s="14">
        <v>21.102622969999999</v>
      </c>
      <c r="F8" s="16">
        <v>1.8218839</v>
      </c>
      <c r="G8" s="14">
        <v>78.897377030000001</v>
      </c>
      <c r="H8" s="16">
        <v>1.8218839</v>
      </c>
      <c r="I8" s="14" t="s">
        <v>139</v>
      </c>
      <c r="J8" s="16" t="s">
        <v>139</v>
      </c>
      <c r="K8" s="14">
        <v>0</v>
      </c>
      <c r="L8" s="16">
        <v>0</v>
      </c>
      <c r="M8" s="14">
        <v>0</v>
      </c>
      <c r="N8" s="16">
        <v>0</v>
      </c>
      <c r="O8" s="14">
        <v>0</v>
      </c>
      <c r="P8" s="16">
        <v>0</v>
      </c>
      <c r="Q8" s="14">
        <v>0</v>
      </c>
      <c r="R8" s="16">
        <v>0</v>
      </c>
    </row>
    <row r="9" spans="1:18" x14ac:dyDescent="0.25">
      <c r="A9" s="11" t="s">
        <v>141</v>
      </c>
      <c r="B9" s="13">
        <v>4752</v>
      </c>
      <c r="C9" s="14">
        <f>(3984/B9*100)</f>
        <v>83.838383838383834</v>
      </c>
      <c r="D9" s="15">
        <v>768</v>
      </c>
      <c r="E9" s="14">
        <v>22.01611149</v>
      </c>
      <c r="F9" s="16">
        <v>1.4032076600000001</v>
      </c>
      <c r="G9" s="14">
        <v>77.98388851</v>
      </c>
      <c r="H9" s="16">
        <v>1.4032076600000001</v>
      </c>
      <c r="I9" s="14" t="s">
        <v>139</v>
      </c>
      <c r="J9" s="16" t="s">
        <v>139</v>
      </c>
      <c r="K9" s="14">
        <v>0</v>
      </c>
      <c r="L9" s="16">
        <v>0</v>
      </c>
      <c r="M9" s="14">
        <v>0</v>
      </c>
      <c r="N9" s="16">
        <v>0</v>
      </c>
      <c r="O9" s="14">
        <v>0</v>
      </c>
      <c r="P9" s="16">
        <v>0</v>
      </c>
      <c r="Q9" s="14">
        <v>0</v>
      </c>
      <c r="R9" s="16">
        <v>0</v>
      </c>
    </row>
    <row r="10" spans="1:18" x14ac:dyDescent="0.25">
      <c r="A10" s="11" t="s">
        <v>142</v>
      </c>
      <c r="B10" s="13">
        <v>10022</v>
      </c>
      <c r="C10" s="14">
        <f>(8323/B10*100)</f>
        <v>83.047295948912392</v>
      </c>
      <c r="D10" s="15">
        <v>1699</v>
      </c>
      <c r="E10" s="14">
        <v>19.213228170000001</v>
      </c>
      <c r="F10" s="16">
        <v>1.2842163900000001</v>
      </c>
      <c r="G10" s="14">
        <v>80.786771830000006</v>
      </c>
      <c r="H10" s="16">
        <v>1.2842163900000001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(2915/B11*100)</f>
        <v>83.285714285714292</v>
      </c>
      <c r="D11" s="15">
        <v>585</v>
      </c>
      <c r="E11" s="14">
        <v>35.383255060000003</v>
      </c>
      <c r="F11" s="16">
        <v>2.3617432100000002</v>
      </c>
      <c r="G11" s="14">
        <v>64.616744940000004</v>
      </c>
      <c r="H11" s="16">
        <v>2.3617432100000002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(2874/B12*100)</f>
        <v>83.985973115137341</v>
      </c>
      <c r="D12" s="15">
        <v>548</v>
      </c>
      <c r="E12" s="14">
        <v>20.42115531</v>
      </c>
      <c r="F12" s="16">
        <v>2.2442969599999998</v>
      </c>
      <c r="G12" s="14">
        <v>79.578844689999997</v>
      </c>
      <c r="H12" s="16">
        <v>2.2442969599999998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(3009/B13*100)</f>
        <v>83.53692393114936</v>
      </c>
      <c r="D13" s="15">
        <v>593</v>
      </c>
      <c r="E13" s="14">
        <v>17.240886459999999</v>
      </c>
      <c r="F13" s="16">
        <v>1.65019867</v>
      </c>
      <c r="G13" s="14">
        <v>82.759113540000001</v>
      </c>
      <c r="H13" s="16">
        <v>1.65019867</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(2309/B14*100)</f>
        <v>82.819225251076048</v>
      </c>
      <c r="D14" s="15">
        <v>479</v>
      </c>
      <c r="E14" s="14">
        <v>16.41005762</v>
      </c>
      <c r="F14" s="16">
        <v>1.5924262199999999</v>
      </c>
      <c r="G14" s="14">
        <v>83.589942379999997</v>
      </c>
      <c r="H14" s="16">
        <v>1.5924262199999999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(2367/B15*100)</f>
        <v>82.675515193852604</v>
      </c>
      <c r="D15" s="15">
        <v>496</v>
      </c>
      <c r="E15" s="14">
        <v>17.979079930000001</v>
      </c>
      <c r="F15" s="16">
        <v>1.89512488</v>
      </c>
      <c r="G15" s="14">
        <v>82.020920070000003</v>
      </c>
      <c r="H15" s="16">
        <v>1.89512488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(2573/B16*100)</f>
        <v>82.706525233044033</v>
      </c>
      <c r="D16" s="15">
        <v>538</v>
      </c>
      <c r="E16" s="14">
        <v>22.984370630000001</v>
      </c>
      <c r="F16" s="16">
        <v>1.90751761</v>
      </c>
      <c r="G16" s="14">
        <v>77.015629369999999</v>
      </c>
      <c r="H16" s="16">
        <v>1.90751761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(2627/B17*100)</f>
        <v>82.170785111041596</v>
      </c>
      <c r="D17" s="15">
        <v>570</v>
      </c>
      <c r="E17" s="14">
        <v>15.851266369999999</v>
      </c>
      <c r="F17" s="16">
        <v>1.5866529300000001</v>
      </c>
      <c r="G17" s="14">
        <v>84.148733629999995</v>
      </c>
      <c r="H17" s="16">
        <v>1.5866529300000001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(2237/B18*100)</f>
        <v>82.668144863266818</v>
      </c>
      <c r="D18" s="15">
        <v>469</v>
      </c>
      <c r="E18" s="14">
        <v>25.730684279999998</v>
      </c>
      <c r="F18" s="16">
        <v>2.2918277100000002</v>
      </c>
      <c r="G18" s="14">
        <v>74.269315719999994</v>
      </c>
      <c r="H18" s="16">
        <v>2.2918277100000002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(2377/B19*100)</f>
        <v>83.403508771929822</v>
      </c>
      <c r="D19" s="15">
        <v>473</v>
      </c>
      <c r="E19" s="14">
        <v>28.14888869</v>
      </c>
      <c r="F19" s="16">
        <v>2.5397531199999999</v>
      </c>
      <c r="G19" s="14">
        <v>71.851111309999993</v>
      </c>
      <c r="H19" s="16">
        <v>2.5397531199999999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20.836835149999999</v>
      </c>
      <c r="F20" s="16">
        <v>2.4500721799999998</v>
      </c>
      <c r="G20" s="14">
        <v>79.163164850000001</v>
      </c>
      <c r="H20" s="16">
        <v>2.4500721799999998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(3138/B22*100)</f>
        <v>85.574038723752395</v>
      </c>
      <c r="D22" s="15">
        <v>529</v>
      </c>
      <c r="E22" s="14">
        <v>27.715103330000002</v>
      </c>
      <c r="F22" s="16">
        <v>2.5712435899999999</v>
      </c>
      <c r="G22" s="14">
        <v>72.284896669999995</v>
      </c>
      <c r="H22" s="16">
        <v>2.5712435899999999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(4803/B23*100)</f>
        <v>82.924723756906076</v>
      </c>
      <c r="D23" s="15">
        <v>989</v>
      </c>
      <c r="E23" s="14">
        <v>24.49128863</v>
      </c>
      <c r="F23" s="16">
        <v>2.2677174999999998</v>
      </c>
      <c r="G23" s="14">
        <v>75.50871137</v>
      </c>
      <c r="H23" s="16">
        <v>2.2677174999999998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11.839105180000001</v>
      </c>
      <c r="F24" s="16">
        <v>1.30459646</v>
      </c>
      <c r="G24" s="14">
        <v>88.160894819999996</v>
      </c>
      <c r="H24" s="16">
        <v>1.30459646</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12.90226597</v>
      </c>
      <c r="F25" s="16">
        <v>1.5660252100000001</v>
      </c>
      <c r="G25" s="14">
        <v>87.097734029999998</v>
      </c>
      <c r="H25" s="16">
        <v>1.5660252100000001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(1994/B26*100)</f>
        <v>82.430756510954936</v>
      </c>
      <c r="D26" s="15">
        <v>425</v>
      </c>
      <c r="E26" s="14">
        <v>20.39955531</v>
      </c>
      <c r="F26" s="16">
        <v>1.8579087299999999</v>
      </c>
      <c r="G26" s="14">
        <v>79.600444690000003</v>
      </c>
      <c r="H26" s="16">
        <v>1.8579087299999999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21.603201299999998</v>
      </c>
      <c r="F27" s="16">
        <v>1.87756821</v>
      </c>
      <c r="G27" s="14">
        <v>78.396798700000005</v>
      </c>
      <c r="H27" s="16">
        <v>1.87756821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(3209/B28*100)</f>
        <v>84.380752037864852</v>
      </c>
      <c r="D28" s="15">
        <v>594</v>
      </c>
      <c r="E28" s="14">
        <v>36.633795790000001</v>
      </c>
      <c r="F28" s="16">
        <v>2.37701932</v>
      </c>
      <c r="G28" s="14">
        <v>63.366204209999999</v>
      </c>
      <c r="H28" s="16">
        <v>2.37701932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(2265/B29*100)</f>
        <v>83.888888888888886</v>
      </c>
      <c r="D29" s="15">
        <v>435</v>
      </c>
      <c r="E29" s="14">
        <v>16.021876559999999</v>
      </c>
      <c r="F29" s="16">
        <v>1.88231861</v>
      </c>
      <c r="G29" s="14">
        <v>83.978123440000005</v>
      </c>
      <c r="H29" s="16">
        <v>1.88231861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(1911/B30*100)</f>
        <v>84.669915817456797</v>
      </c>
      <c r="D30" s="15">
        <v>346</v>
      </c>
      <c r="E30" s="14">
        <v>21.126658129999999</v>
      </c>
      <c r="F30" s="16">
        <v>2.3624176499999998</v>
      </c>
      <c r="G30" s="14">
        <v>78.873341870000004</v>
      </c>
      <c r="H30" s="16">
        <v>2.3624176499999998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(2247/B31*100)</f>
        <v>83.037694013303764</v>
      </c>
      <c r="D31" s="15">
        <v>459</v>
      </c>
      <c r="E31" s="14">
        <v>21.706981469999999</v>
      </c>
      <c r="F31" s="16">
        <v>2.0646374000000001</v>
      </c>
      <c r="G31" s="14">
        <v>78.293018529999998</v>
      </c>
      <c r="H31" s="16">
        <v>2.0646374000000001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(3051/B33*100)</f>
        <v>83.566146261298286</v>
      </c>
      <c r="D33" s="15">
        <v>600</v>
      </c>
      <c r="E33" s="14">
        <v>17.093397540000002</v>
      </c>
      <c r="F33" s="16">
        <v>1.9569838100000001</v>
      </c>
      <c r="G33" s="14">
        <v>82.906602460000002</v>
      </c>
      <c r="H33" s="16">
        <v>1.9569838100000001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(2544/B34*100)</f>
        <v>83.82207578253707</v>
      </c>
      <c r="D34" s="15">
        <v>491</v>
      </c>
      <c r="E34" s="14">
        <v>28.613955690000001</v>
      </c>
      <c r="F34" s="16">
        <v>2.0369564100000002</v>
      </c>
      <c r="G34" s="14">
        <v>71.386044310000003</v>
      </c>
      <c r="H34" s="16">
        <v>2.0369564100000002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13.086268329999999</v>
      </c>
      <c r="F35" s="16">
        <v>1.72610347</v>
      </c>
      <c r="G35" s="14">
        <v>86.913731670000004</v>
      </c>
      <c r="H35" s="16">
        <v>1.72610347</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(2843/B36*100)</f>
        <v>83.519388954171561</v>
      </c>
      <c r="D36" s="15">
        <v>561</v>
      </c>
      <c r="E36" s="14">
        <v>25.257372329999999</v>
      </c>
      <c r="F36" s="16">
        <v>2.0884991400000001</v>
      </c>
      <c r="G36" s="14">
        <v>74.742627670000005</v>
      </c>
      <c r="H36" s="16">
        <v>2.0884991400000001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(2280/B37*100)</f>
        <v>83.485902599780303</v>
      </c>
      <c r="D37" s="15">
        <v>451</v>
      </c>
      <c r="E37" s="14">
        <v>18.534850500000001</v>
      </c>
      <c r="F37" s="16">
        <v>1.77462052</v>
      </c>
      <c r="G37" s="14">
        <v>81.465149499999995</v>
      </c>
      <c r="H37" s="16">
        <v>1.77462052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40.462628549999998</v>
      </c>
      <c r="F39" s="16">
        <v>2.1366074899999998</v>
      </c>
      <c r="G39" s="14">
        <v>59.537371450000002</v>
      </c>
      <c r="H39" s="16">
        <v>2.1366074899999998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(5740/B40*100)</f>
        <v>82.924010401618034</v>
      </c>
      <c r="D40" s="15">
        <v>1182</v>
      </c>
      <c r="E40" s="14">
        <v>18.502179999999999</v>
      </c>
      <c r="F40" s="16">
        <v>2.0520024100000001</v>
      </c>
      <c r="G40" s="14">
        <v>81.497820000000004</v>
      </c>
      <c r="H40" s="16">
        <v>2.0520024100000001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(2356/B41*100)</f>
        <v>82.550805886475118</v>
      </c>
      <c r="D41" s="15">
        <v>498</v>
      </c>
      <c r="E41" s="14">
        <v>24.603904830000001</v>
      </c>
      <c r="F41" s="16">
        <v>2.1561836099999998</v>
      </c>
      <c r="G41" s="14">
        <v>75.396095169999995</v>
      </c>
      <c r="H41" s="16">
        <v>2.1561836099999998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83.213859190561493</v>
      </c>
      <c r="D42" s="15">
        <f>IF(COUNT(D7:D41) &gt; 0, AVERAGE(D7:D41), "—")</f>
        <v>606.40625</v>
      </c>
      <c r="E42" s="14">
        <f>IF(COUNT(E7:E41) &gt; 0, AVERAGE(E7:E41), "—")</f>
        <v>21.952868752499995</v>
      </c>
      <c r="F42" s="16">
        <f>IF(COUNT(F7:F41) &gt; 0, SQRT(SUMSQ(F7:F41)/(COUNT(F7:F41)*COUNT(F7:F41)) ), "—")</f>
        <v>0.35052536587227806</v>
      </c>
      <c r="G42" s="14">
        <f>IF(COUNT(G7:G41) &gt; 0, AVERAGE(G7:G41), "—")</f>
        <v>78.047131247500005</v>
      </c>
      <c r="H42" s="16">
        <f>IF(COUNT(H7:H41) &gt; 0, SQRT(SUMSQ(H7:H41)/(COUNT(H7:H41)*COUNT(H7:H41)) ), "—")</f>
        <v>0.35052536587227806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(10528/B46*100)</f>
        <v>87.2028493332229</v>
      </c>
      <c r="D46" s="15">
        <v>1545</v>
      </c>
      <c r="E46" s="14">
        <v>37.25760184</v>
      </c>
      <c r="F46" s="16">
        <v>1.7396113499999999</v>
      </c>
      <c r="G46" s="14">
        <v>62.74239816</v>
      </c>
      <c r="H46" s="16">
        <v>1.7396113499999999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(2353/B47*100)</f>
        <v>83.351044987601838</v>
      </c>
      <c r="D47" s="15">
        <v>470</v>
      </c>
      <c r="E47" s="14">
        <v>34.2673208</v>
      </c>
      <c r="F47" s="16">
        <v>2.31163842</v>
      </c>
      <c r="G47" s="14">
        <v>65.732679200000007</v>
      </c>
      <c r="H47" s="16">
        <v>2.31163842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(3888/B48*100)</f>
        <v>83.041435284066637</v>
      </c>
      <c r="D48" s="15">
        <v>794</v>
      </c>
      <c r="E48" s="14">
        <v>23.506152889999999</v>
      </c>
      <c r="F48" s="16">
        <v>2.2473352700000002</v>
      </c>
      <c r="G48" s="14">
        <v>76.493847110000004</v>
      </c>
      <c r="H48" s="16">
        <v>2.2473352700000002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(5168/B50*100)</f>
        <v>83.923351737577136</v>
      </c>
      <c r="D50" s="15">
        <v>990</v>
      </c>
      <c r="E50" s="14">
        <v>48.62659403</v>
      </c>
      <c r="F50" s="16">
        <v>1.8970969099999999</v>
      </c>
      <c r="G50" s="14">
        <v>51.37340597</v>
      </c>
      <c r="H50" s="16">
        <v>1.8970969099999999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36.284900129999997</v>
      </c>
      <c r="F51" s="16">
        <v>2.3350053200000001</v>
      </c>
      <c r="G51" s="14">
        <v>63.715099870000003</v>
      </c>
      <c r="H51" s="16">
        <v>2.3350053200000001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12.468273930000001</v>
      </c>
      <c r="F52" s="16">
        <v>1.45247495</v>
      </c>
      <c r="G52" s="14">
        <v>87.531726070000005</v>
      </c>
      <c r="H52" s="16">
        <v>1.45247495</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(2316/B53*100)</f>
        <v>83.913043478260875</v>
      </c>
      <c r="D53" s="15">
        <v>444</v>
      </c>
      <c r="E53" s="14">
        <v>30.408040679999999</v>
      </c>
      <c r="F53" s="16">
        <v>2.2768736700000001</v>
      </c>
      <c r="G53" s="14">
        <v>69.591959320000001</v>
      </c>
      <c r="H53" s="16">
        <v>2.2768736700000001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(2209/B56*100)</f>
        <v>82.579439252336456</v>
      </c>
      <c r="D56" s="15">
        <v>466</v>
      </c>
      <c r="E56" s="14">
        <v>18.052144559999999</v>
      </c>
      <c r="F56" s="16">
        <v>1.98400066</v>
      </c>
      <c r="G56" s="14">
        <v>81.947855439999998</v>
      </c>
      <c r="H56" s="16">
        <v>1.98400066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(2653/B61*100)</f>
        <v>82.880349890659161</v>
      </c>
      <c r="D61" s="15">
        <v>548</v>
      </c>
      <c r="E61" s="14">
        <v>15.669817800000001</v>
      </c>
      <c r="F61" s="16">
        <v>1.84565381</v>
      </c>
      <c r="G61" s="14">
        <v>84.330182199999996</v>
      </c>
      <c r="H61" s="16">
        <v>1.84565381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12.538860339999999</v>
      </c>
      <c r="F62" s="16">
        <v>1.8245340699999999</v>
      </c>
      <c r="G62" s="14">
        <v>87.461139660000001</v>
      </c>
      <c r="H62" s="16">
        <v>1.8245340699999999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37.299229650000001</v>
      </c>
      <c r="F66" s="16">
        <v>2.2202104600000001</v>
      </c>
      <c r="G66" s="14">
        <v>62.700770349999999</v>
      </c>
      <c r="H66" s="16">
        <v>2.2202104600000001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(2969/B67*100)</f>
        <v>85.809248554913296</v>
      </c>
      <c r="D67" s="15">
        <v>491</v>
      </c>
      <c r="E67" s="14">
        <v>50.396187380000001</v>
      </c>
      <c r="F67" s="16">
        <v>2.6130244299999998</v>
      </c>
      <c r="G67" s="14">
        <v>49.603812619999999</v>
      </c>
      <c r="H67" s="16">
        <v>2.6130244299999998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(2579/B70*100)</f>
        <v>83.006115223688454</v>
      </c>
      <c r="D70" s="15">
        <v>528</v>
      </c>
      <c r="E70" s="14">
        <v>21.53649454</v>
      </c>
      <c r="F70" s="16">
        <v>2.98907766</v>
      </c>
      <c r="G70" s="14">
        <v>78.463505459999993</v>
      </c>
      <c r="H70" s="16">
        <v>2.98907766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(3156/B72*100)</f>
        <v>82.639434406912798</v>
      </c>
      <c r="D72" s="15">
        <v>663</v>
      </c>
      <c r="E72" s="14">
        <v>22.27060328</v>
      </c>
      <c r="F72" s="16">
        <v>1.7902782500000001</v>
      </c>
      <c r="G72" s="14">
        <v>77.729396719999997</v>
      </c>
      <c r="H72" s="16">
        <v>1.7902782500000001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(3927/B73*100)</f>
        <v>84.41530524505589</v>
      </c>
      <c r="D73" s="15">
        <v>725</v>
      </c>
      <c r="E73" s="14">
        <v>50.064335069999998</v>
      </c>
      <c r="F73" s="16">
        <v>2.6833395900000001</v>
      </c>
      <c r="G73" s="14">
        <v>49.935664930000002</v>
      </c>
      <c r="H73" s="16">
        <v>2.6833395900000001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63.552258440000003</v>
      </c>
      <c r="F75" s="16">
        <v>2.5616930600000001</v>
      </c>
      <c r="G75" s="14">
        <v>36.447741559999997</v>
      </c>
      <c r="H75" s="16">
        <v>2.5616930600000001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(5913/B76*100)</f>
        <v>83.106113843991565</v>
      </c>
      <c r="D76" s="15">
        <v>1202</v>
      </c>
      <c r="E76" s="14">
        <v>31.651008090000001</v>
      </c>
      <c r="F76" s="16">
        <v>1.5745498099999999</v>
      </c>
      <c r="G76" s="14">
        <v>68.348991909999995</v>
      </c>
      <c r="H76" s="16">
        <v>1.5745498099999999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(2638/B77*100)</f>
        <v>83.639822447685475</v>
      </c>
      <c r="D77" s="15">
        <v>516</v>
      </c>
      <c r="E77" s="14">
        <v>39.947435489999997</v>
      </c>
      <c r="F77" s="16">
        <v>2.1628034199999999</v>
      </c>
      <c r="G77" s="14">
        <v>60.052564510000003</v>
      </c>
      <c r="H77" s="16">
        <v>2.1628034199999999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(3899/B81*100)</f>
        <v>82.992762877820354</v>
      </c>
      <c r="D81" s="15">
        <v>799</v>
      </c>
      <c r="E81" s="14">
        <v>38.69227575</v>
      </c>
      <c r="F81" s="16">
        <v>2.20965129</v>
      </c>
      <c r="G81" s="14">
        <v>61.30772425</v>
      </c>
      <c r="H81" s="16">
        <v>2.20965129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339</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(5948/B7*100)</f>
        <v>83.037833310065608</v>
      </c>
      <c r="D7" s="15">
        <v>1215</v>
      </c>
      <c r="E7" s="14">
        <v>69.433717939999994</v>
      </c>
      <c r="F7" s="16">
        <v>1.25120622</v>
      </c>
      <c r="G7" s="14">
        <v>19.03587988</v>
      </c>
      <c r="H7" s="16">
        <v>1.1221864699999999</v>
      </c>
      <c r="I7" s="14">
        <v>11.530402179999999</v>
      </c>
      <c r="J7" s="16">
        <v>1.05230146</v>
      </c>
      <c r="K7" s="14" t="s">
        <v>139</v>
      </c>
      <c r="L7" s="16" t="s">
        <v>139</v>
      </c>
      <c r="M7" s="14">
        <v>0</v>
      </c>
      <c r="N7" s="16">
        <v>0</v>
      </c>
      <c r="O7" s="14">
        <v>0</v>
      </c>
      <c r="P7" s="16">
        <v>0</v>
      </c>
      <c r="Q7" s="14">
        <v>0</v>
      </c>
      <c r="R7" s="16">
        <v>0</v>
      </c>
      <c r="S7" s="14">
        <v>0</v>
      </c>
      <c r="T7" s="16">
        <v>0</v>
      </c>
    </row>
    <row r="8" spans="1:20" x14ac:dyDescent="0.25">
      <c r="A8" s="11" t="s">
        <v>140</v>
      </c>
      <c r="B8" s="13">
        <v>3443</v>
      </c>
      <c r="C8" s="14">
        <f>(2835/B8*100)</f>
        <v>82.340981702004072</v>
      </c>
      <c r="D8" s="15">
        <v>608</v>
      </c>
      <c r="E8" s="14">
        <v>75.401274670000006</v>
      </c>
      <c r="F8" s="16">
        <v>1.9731947400000001</v>
      </c>
      <c r="G8" s="14">
        <v>16.553230729999999</v>
      </c>
      <c r="H8" s="16">
        <v>1.7760990999999999</v>
      </c>
      <c r="I8" s="14">
        <v>8.0454945900000006</v>
      </c>
      <c r="J8" s="16">
        <v>1.0732079299999999</v>
      </c>
      <c r="K8" s="14" t="s">
        <v>139</v>
      </c>
      <c r="L8" s="16" t="s">
        <v>139</v>
      </c>
      <c r="M8" s="14">
        <v>0</v>
      </c>
      <c r="N8" s="16">
        <v>0</v>
      </c>
      <c r="O8" s="14">
        <v>0</v>
      </c>
      <c r="P8" s="16">
        <v>0</v>
      </c>
      <c r="Q8" s="14">
        <v>0</v>
      </c>
      <c r="R8" s="16">
        <v>0</v>
      </c>
      <c r="S8" s="14">
        <v>0</v>
      </c>
      <c r="T8" s="16">
        <v>0</v>
      </c>
    </row>
    <row r="9" spans="1:20" x14ac:dyDescent="0.25">
      <c r="A9" s="11" t="s">
        <v>141</v>
      </c>
      <c r="B9" s="13">
        <v>4752</v>
      </c>
      <c r="C9" s="14">
        <f>(3984/B9*100)</f>
        <v>83.838383838383834</v>
      </c>
      <c r="D9" s="15">
        <v>768</v>
      </c>
      <c r="E9" s="14">
        <v>74.868717349999997</v>
      </c>
      <c r="F9" s="16">
        <v>1.7565984299999999</v>
      </c>
      <c r="G9" s="14">
        <v>16.557559829999999</v>
      </c>
      <c r="H9" s="16">
        <v>1.51344572</v>
      </c>
      <c r="I9" s="14">
        <v>8.5737228200000004</v>
      </c>
      <c r="J9" s="16">
        <v>0.96206548000000003</v>
      </c>
      <c r="K9" s="14" t="s">
        <v>139</v>
      </c>
      <c r="L9" s="16" t="s">
        <v>139</v>
      </c>
      <c r="M9" s="14">
        <v>0</v>
      </c>
      <c r="N9" s="16">
        <v>0</v>
      </c>
      <c r="O9" s="14">
        <v>0</v>
      </c>
      <c r="P9" s="16">
        <v>0</v>
      </c>
      <c r="Q9" s="14">
        <v>0</v>
      </c>
      <c r="R9" s="16">
        <v>0</v>
      </c>
      <c r="S9" s="14">
        <v>0</v>
      </c>
      <c r="T9" s="16">
        <v>0</v>
      </c>
    </row>
    <row r="10" spans="1:20" x14ac:dyDescent="0.25">
      <c r="A10" s="11" t="s">
        <v>142</v>
      </c>
      <c r="B10" s="13">
        <v>10022</v>
      </c>
      <c r="C10" s="14">
        <f>(8323/B10*100)</f>
        <v>83.047295948912392</v>
      </c>
      <c r="D10" s="15">
        <v>1699</v>
      </c>
      <c r="E10" s="14">
        <v>67.526195319999999</v>
      </c>
      <c r="F10" s="16">
        <v>1.8132478000000001</v>
      </c>
      <c r="G10" s="14">
        <v>20.990662960000002</v>
      </c>
      <c r="H10" s="16">
        <v>1.53804422</v>
      </c>
      <c r="I10" s="14">
        <v>11.483141720000001</v>
      </c>
      <c r="J10" s="16">
        <v>1.1371207999999999</v>
      </c>
      <c r="K10" s="14" t="s">
        <v>139</v>
      </c>
      <c r="L10" s="16" t="s">
        <v>139</v>
      </c>
      <c r="M10" s="14">
        <v>0</v>
      </c>
      <c r="N10" s="16">
        <v>0</v>
      </c>
      <c r="O10" s="14">
        <v>0</v>
      </c>
      <c r="P10" s="16">
        <v>0</v>
      </c>
      <c r="Q10" s="14">
        <v>0</v>
      </c>
      <c r="R10" s="16">
        <v>0</v>
      </c>
      <c r="S10" s="14">
        <v>0</v>
      </c>
      <c r="T10" s="16">
        <v>0</v>
      </c>
    </row>
    <row r="11" spans="1:20" x14ac:dyDescent="0.25">
      <c r="A11" s="11" t="s">
        <v>143</v>
      </c>
      <c r="B11" s="13">
        <v>3500</v>
      </c>
      <c r="C11" s="14">
        <f>(2915/B11*100)</f>
        <v>83.285714285714292</v>
      </c>
      <c r="D11" s="15">
        <v>585</v>
      </c>
      <c r="E11" s="14">
        <v>81.491447480000005</v>
      </c>
      <c r="F11" s="16">
        <v>1.7874083300000001</v>
      </c>
      <c r="G11" s="14">
        <v>14.596996170000001</v>
      </c>
      <c r="H11" s="16">
        <v>1.73436517</v>
      </c>
      <c r="I11" s="14">
        <v>3.9115563400000002</v>
      </c>
      <c r="J11" s="16">
        <v>0.74968113000000003</v>
      </c>
      <c r="K11" s="14" t="s">
        <v>139</v>
      </c>
      <c r="L11" s="16" t="s">
        <v>139</v>
      </c>
      <c r="M11" s="14">
        <v>0</v>
      </c>
      <c r="N11" s="16">
        <v>0</v>
      </c>
      <c r="O11" s="14">
        <v>0</v>
      </c>
      <c r="P11" s="16">
        <v>0</v>
      </c>
      <c r="Q11" s="14">
        <v>0</v>
      </c>
      <c r="R11" s="16">
        <v>0</v>
      </c>
      <c r="S11" s="14">
        <v>0</v>
      </c>
      <c r="T11" s="16">
        <v>0</v>
      </c>
    </row>
    <row r="12" spans="1:20" x14ac:dyDescent="0.25">
      <c r="A12" s="11" t="s">
        <v>144</v>
      </c>
      <c r="B12" s="13">
        <v>3422</v>
      </c>
      <c r="C12" s="14">
        <f>(2874/B12*100)</f>
        <v>83.985973115137341</v>
      </c>
      <c r="D12" s="15">
        <v>548</v>
      </c>
      <c r="E12" s="14">
        <v>76.044555889999998</v>
      </c>
      <c r="F12" s="16">
        <v>2.3121939399999998</v>
      </c>
      <c r="G12" s="14">
        <v>18.205284630000001</v>
      </c>
      <c r="H12" s="16">
        <v>1.89178716</v>
      </c>
      <c r="I12" s="14">
        <v>5.7501594799999998</v>
      </c>
      <c r="J12" s="16">
        <v>1.08793871</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(3009/B13*100)</f>
        <v>83.53692393114936</v>
      </c>
      <c r="D13" s="15">
        <v>593</v>
      </c>
      <c r="E13" s="14">
        <v>66.599234089999996</v>
      </c>
      <c r="F13" s="16">
        <v>2.4284633499999999</v>
      </c>
      <c r="G13" s="14">
        <v>21.578837199999999</v>
      </c>
      <c r="H13" s="16">
        <v>1.9168388700000001</v>
      </c>
      <c r="I13" s="14">
        <v>11.82192871</v>
      </c>
      <c r="J13" s="16">
        <v>1.7002966100000001</v>
      </c>
      <c r="K13" s="14" t="s">
        <v>139</v>
      </c>
      <c r="L13" s="16" t="s">
        <v>139</v>
      </c>
      <c r="M13" s="14">
        <v>0</v>
      </c>
      <c r="N13" s="16">
        <v>0</v>
      </c>
      <c r="O13" s="14">
        <v>0</v>
      </c>
      <c r="P13" s="16">
        <v>0</v>
      </c>
      <c r="Q13" s="14">
        <v>0</v>
      </c>
      <c r="R13" s="16">
        <v>0</v>
      </c>
      <c r="S13" s="14">
        <v>0</v>
      </c>
      <c r="T13" s="16">
        <v>0</v>
      </c>
    </row>
    <row r="14" spans="1:20" x14ac:dyDescent="0.25">
      <c r="A14" s="11" t="s">
        <v>146</v>
      </c>
      <c r="B14" s="13">
        <v>2788</v>
      </c>
      <c r="C14" s="14">
        <f>(2309/B14*100)</f>
        <v>82.819225251076048</v>
      </c>
      <c r="D14" s="15">
        <v>479</v>
      </c>
      <c r="E14" s="14">
        <v>70.164958400000003</v>
      </c>
      <c r="F14" s="16">
        <v>2.24220058</v>
      </c>
      <c r="G14" s="14">
        <v>19.751761269999999</v>
      </c>
      <c r="H14" s="16">
        <v>2.2521764499999999</v>
      </c>
      <c r="I14" s="14">
        <v>10.083280329999999</v>
      </c>
      <c r="J14" s="16">
        <v>1.29707142</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(2367/B15*100)</f>
        <v>82.675515193852604</v>
      </c>
      <c r="D15" s="15">
        <v>496</v>
      </c>
      <c r="E15" s="14">
        <v>70.912313850000004</v>
      </c>
      <c r="F15" s="16">
        <v>2.1708156500000002</v>
      </c>
      <c r="G15" s="14">
        <v>13.780522960000001</v>
      </c>
      <c r="H15" s="16">
        <v>1.6456898499999999</v>
      </c>
      <c r="I15" s="14">
        <v>15.30716318</v>
      </c>
      <c r="J15" s="16">
        <v>1.63782736</v>
      </c>
      <c r="K15" s="14" t="s">
        <v>139</v>
      </c>
      <c r="L15" s="16" t="s">
        <v>139</v>
      </c>
      <c r="M15" s="14">
        <v>0</v>
      </c>
      <c r="N15" s="16">
        <v>0</v>
      </c>
      <c r="O15" s="14">
        <v>0</v>
      </c>
      <c r="P15" s="16">
        <v>0</v>
      </c>
      <c r="Q15" s="14">
        <v>0</v>
      </c>
      <c r="R15" s="16">
        <v>0</v>
      </c>
      <c r="S15" s="14">
        <v>0</v>
      </c>
      <c r="T15" s="16">
        <v>0</v>
      </c>
    </row>
    <row r="16" spans="1:20" x14ac:dyDescent="0.25">
      <c r="A16" s="11" t="s">
        <v>148</v>
      </c>
      <c r="B16" s="13">
        <v>3111</v>
      </c>
      <c r="C16" s="14">
        <f>(2573/B16*100)</f>
        <v>82.706525233044033</v>
      </c>
      <c r="D16" s="15">
        <v>538</v>
      </c>
      <c r="E16" s="14">
        <v>78.001150769999995</v>
      </c>
      <c r="F16" s="16">
        <v>1.70451759</v>
      </c>
      <c r="G16" s="14">
        <v>16.47538033</v>
      </c>
      <c r="H16" s="16">
        <v>1.58259616</v>
      </c>
      <c r="I16" s="14">
        <v>5.5234689000000001</v>
      </c>
      <c r="J16" s="16">
        <v>0.87072881000000002</v>
      </c>
      <c r="K16" s="14" t="s">
        <v>139</v>
      </c>
      <c r="L16" s="16" t="s">
        <v>139</v>
      </c>
      <c r="M16" s="14">
        <v>0</v>
      </c>
      <c r="N16" s="16">
        <v>0</v>
      </c>
      <c r="O16" s="14">
        <v>0</v>
      </c>
      <c r="P16" s="16">
        <v>0</v>
      </c>
      <c r="Q16" s="14">
        <v>0</v>
      </c>
      <c r="R16" s="16">
        <v>0</v>
      </c>
      <c r="S16" s="14">
        <v>0</v>
      </c>
      <c r="T16" s="16">
        <v>0</v>
      </c>
    </row>
    <row r="17" spans="1:20" x14ac:dyDescent="0.25">
      <c r="A17" s="11" t="s">
        <v>149</v>
      </c>
      <c r="B17" s="13">
        <v>3197</v>
      </c>
      <c r="C17" s="14">
        <f>(2627/B17*100)</f>
        <v>82.170785111041596</v>
      </c>
      <c r="D17" s="15">
        <v>570</v>
      </c>
      <c r="E17" s="14">
        <v>69.678018339999994</v>
      </c>
      <c r="F17" s="16">
        <v>1.8315431600000001</v>
      </c>
      <c r="G17" s="14">
        <v>19.7774337</v>
      </c>
      <c r="H17" s="16">
        <v>1.76059777</v>
      </c>
      <c r="I17" s="14">
        <v>10.54454795</v>
      </c>
      <c r="J17" s="16">
        <v>1.26356994</v>
      </c>
      <c r="K17" s="14" t="s">
        <v>139</v>
      </c>
      <c r="L17" s="16" t="s">
        <v>139</v>
      </c>
      <c r="M17" s="14">
        <v>0</v>
      </c>
      <c r="N17" s="16">
        <v>0</v>
      </c>
      <c r="O17" s="14">
        <v>0</v>
      </c>
      <c r="P17" s="16">
        <v>0</v>
      </c>
      <c r="Q17" s="14">
        <v>0</v>
      </c>
      <c r="R17" s="16">
        <v>0</v>
      </c>
      <c r="S17" s="14">
        <v>0</v>
      </c>
      <c r="T17" s="16">
        <v>0</v>
      </c>
    </row>
    <row r="18" spans="1:20" x14ac:dyDescent="0.25">
      <c r="A18" s="11" t="s">
        <v>150</v>
      </c>
      <c r="B18" s="13">
        <v>2706</v>
      </c>
      <c r="C18" s="14">
        <f>(2237/B18*100)</f>
        <v>82.668144863266818</v>
      </c>
      <c r="D18" s="15">
        <v>469</v>
      </c>
      <c r="E18" s="14">
        <v>86.495689240000004</v>
      </c>
      <c r="F18" s="16">
        <v>1.7293891299999999</v>
      </c>
      <c r="G18" s="14">
        <v>8.7303971399999991</v>
      </c>
      <c r="H18" s="16">
        <v>1.3465948299999999</v>
      </c>
      <c r="I18" s="14">
        <v>4.7739136200000001</v>
      </c>
      <c r="J18" s="16">
        <v>1.19486574</v>
      </c>
      <c r="K18" s="14" t="s">
        <v>139</v>
      </c>
      <c r="L18" s="16" t="s">
        <v>139</v>
      </c>
      <c r="M18" s="14">
        <v>0</v>
      </c>
      <c r="N18" s="16">
        <v>0</v>
      </c>
      <c r="O18" s="14">
        <v>0</v>
      </c>
      <c r="P18" s="16">
        <v>0</v>
      </c>
      <c r="Q18" s="14">
        <v>0</v>
      </c>
      <c r="R18" s="16">
        <v>0</v>
      </c>
      <c r="S18" s="14">
        <v>0</v>
      </c>
      <c r="T18" s="16">
        <v>0</v>
      </c>
    </row>
    <row r="19" spans="1:20" x14ac:dyDescent="0.25">
      <c r="A19" s="11" t="s">
        <v>151</v>
      </c>
      <c r="B19" s="13">
        <v>2850</v>
      </c>
      <c r="C19" s="14">
        <f>(2377/B19*100)</f>
        <v>83.403508771929822</v>
      </c>
      <c r="D19" s="15">
        <v>473</v>
      </c>
      <c r="E19" s="14">
        <v>81.097233639999999</v>
      </c>
      <c r="F19" s="16">
        <v>1.9056915800000001</v>
      </c>
      <c r="G19" s="14">
        <v>10.889906249999999</v>
      </c>
      <c r="H19" s="16">
        <v>1.4256139999999999</v>
      </c>
      <c r="I19" s="14">
        <v>8.0128601100000001</v>
      </c>
      <c r="J19" s="16">
        <v>1.37637217</v>
      </c>
      <c r="K19" s="14" t="s">
        <v>139</v>
      </c>
      <c r="L19" s="16" t="s">
        <v>139</v>
      </c>
      <c r="M19" s="14">
        <v>0</v>
      </c>
      <c r="N19" s="16">
        <v>0</v>
      </c>
      <c r="O19" s="14">
        <v>0</v>
      </c>
      <c r="P19" s="16">
        <v>0</v>
      </c>
      <c r="Q19" s="14">
        <v>0</v>
      </c>
      <c r="R19" s="16">
        <v>0</v>
      </c>
      <c r="S19" s="14">
        <v>0</v>
      </c>
      <c r="T19" s="16">
        <v>0</v>
      </c>
    </row>
    <row r="20" spans="1:20" x14ac:dyDescent="0.25">
      <c r="A20" s="11" t="s">
        <v>152</v>
      </c>
      <c r="B20" s="13">
        <v>1741</v>
      </c>
      <c r="C20" s="14">
        <f>(1443/B20*100)</f>
        <v>82.883400344629521</v>
      </c>
      <c r="D20" s="15">
        <v>298</v>
      </c>
      <c r="E20" s="14">
        <v>66.280776750000001</v>
      </c>
      <c r="F20" s="16">
        <v>2.7631959300000002</v>
      </c>
      <c r="G20" s="14">
        <v>26.721279339999999</v>
      </c>
      <c r="H20" s="16">
        <v>2.4654006900000001</v>
      </c>
      <c r="I20" s="14">
        <v>6.9979439000000001</v>
      </c>
      <c r="J20" s="16">
        <v>1.30883646</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(3138/B22*100)</f>
        <v>85.574038723752395</v>
      </c>
      <c r="D22" s="15">
        <v>529</v>
      </c>
      <c r="E22" s="14">
        <v>64.004048150000003</v>
      </c>
      <c r="F22" s="16">
        <v>2.2280502499999999</v>
      </c>
      <c r="G22" s="14">
        <v>9.3805185800000004</v>
      </c>
      <c r="H22" s="16">
        <v>1.22808568</v>
      </c>
      <c r="I22" s="14">
        <v>26.61543327</v>
      </c>
      <c r="J22" s="16">
        <v>1.9142867100000001</v>
      </c>
      <c r="K22" s="14" t="s">
        <v>139</v>
      </c>
      <c r="L22" s="16" t="s">
        <v>139</v>
      </c>
      <c r="M22" s="14">
        <v>0</v>
      </c>
      <c r="N22" s="16">
        <v>0</v>
      </c>
      <c r="O22" s="14">
        <v>0</v>
      </c>
      <c r="P22" s="16">
        <v>0</v>
      </c>
      <c r="Q22" s="14">
        <v>0</v>
      </c>
      <c r="R22" s="16">
        <v>0</v>
      </c>
      <c r="S22" s="14">
        <v>0</v>
      </c>
      <c r="T22" s="16">
        <v>0</v>
      </c>
    </row>
    <row r="23" spans="1:20" x14ac:dyDescent="0.25">
      <c r="A23" s="11" t="s">
        <v>156</v>
      </c>
      <c r="B23" s="13">
        <v>5792</v>
      </c>
      <c r="C23" s="14">
        <f>(4803/B23*100)</f>
        <v>82.924723756906076</v>
      </c>
      <c r="D23" s="15">
        <v>989</v>
      </c>
      <c r="E23" s="14">
        <v>77.522138319999996</v>
      </c>
      <c r="F23" s="16">
        <v>2.18315474</v>
      </c>
      <c r="G23" s="14">
        <v>15.454522470000001</v>
      </c>
      <c r="H23" s="16">
        <v>1.9691942200000001</v>
      </c>
      <c r="I23" s="14">
        <v>7.0233392099999996</v>
      </c>
      <c r="J23" s="16">
        <v>1.03184152</v>
      </c>
      <c r="K23" s="14" t="s">
        <v>139</v>
      </c>
      <c r="L23" s="16" t="s">
        <v>139</v>
      </c>
      <c r="M23" s="14">
        <v>0</v>
      </c>
      <c r="N23" s="16">
        <v>0</v>
      </c>
      <c r="O23" s="14">
        <v>0</v>
      </c>
      <c r="P23" s="16">
        <v>0</v>
      </c>
      <c r="Q23" s="14">
        <v>0</v>
      </c>
      <c r="R23" s="16">
        <v>0</v>
      </c>
      <c r="S23" s="14">
        <v>0</v>
      </c>
      <c r="T23" s="16">
        <v>0</v>
      </c>
    </row>
    <row r="24" spans="1:20" x14ac:dyDescent="0.25">
      <c r="A24" s="11" t="s">
        <v>157</v>
      </c>
      <c r="B24" s="13">
        <v>3309</v>
      </c>
      <c r="C24" s="14">
        <f>(2724/B24*100)</f>
        <v>82.320942883046229</v>
      </c>
      <c r="D24" s="15">
        <v>585</v>
      </c>
      <c r="E24" s="14">
        <v>89.542217539999996</v>
      </c>
      <c r="F24" s="16">
        <v>1.4533101900000001</v>
      </c>
      <c r="G24" s="14">
        <v>5.1457597699999997</v>
      </c>
      <c r="H24" s="16">
        <v>0.94737596000000002</v>
      </c>
      <c r="I24" s="14">
        <v>5.3120227</v>
      </c>
      <c r="J24" s="16">
        <v>0.99405790000000005</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80.882171529999994</v>
      </c>
      <c r="F25" s="16">
        <v>1.90464371</v>
      </c>
      <c r="G25" s="14">
        <v>9.2961619199999994</v>
      </c>
      <c r="H25" s="16">
        <v>1.64161628</v>
      </c>
      <c r="I25" s="14">
        <v>9.8216665499999998</v>
      </c>
      <c r="J25" s="16">
        <v>1.3444390799999999</v>
      </c>
      <c r="K25" s="14" t="s">
        <v>139</v>
      </c>
      <c r="L25" s="16" t="s">
        <v>139</v>
      </c>
      <c r="M25" s="14">
        <v>0</v>
      </c>
      <c r="N25" s="16">
        <v>0</v>
      </c>
      <c r="O25" s="14">
        <v>0</v>
      </c>
      <c r="P25" s="16">
        <v>0</v>
      </c>
      <c r="Q25" s="14">
        <v>0</v>
      </c>
      <c r="R25" s="16">
        <v>0</v>
      </c>
      <c r="S25" s="14">
        <v>0</v>
      </c>
      <c r="T25" s="16">
        <v>0</v>
      </c>
    </row>
    <row r="26" spans="1:20" x14ac:dyDescent="0.25">
      <c r="A26" s="11" t="s">
        <v>159</v>
      </c>
      <c r="B26" s="13">
        <v>2419</v>
      </c>
      <c r="C26" s="14">
        <f>(1994/B26*100)</f>
        <v>82.430756510954936</v>
      </c>
      <c r="D26" s="15">
        <v>425</v>
      </c>
      <c r="E26" s="14">
        <v>79.618704210000004</v>
      </c>
      <c r="F26" s="16">
        <v>1.8715033400000001</v>
      </c>
      <c r="G26" s="14">
        <v>15.52095581</v>
      </c>
      <c r="H26" s="16">
        <v>1.78858804</v>
      </c>
      <c r="I26" s="14">
        <v>4.86033998</v>
      </c>
      <c r="J26" s="16">
        <v>1.1847724799999999</v>
      </c>
      <c r="K26" s="14" t="s">
        <v>139</v>
      </c>
      <c r="L26" s="16" t="s">
        <v>139</v>
      </c>
      <c r="M26" s="14">
        <v>0</v>
      </c>
      <c r="N26" s="16">
        <v>0</v>
      </c>
      <c r="O26" s="14">
        <v>0</v>
      </c>
      <c r="P26" s="16">
        <v>0</v>
      </c>
      <c r="Q26" s="14">
        <v>0</v>
      </c>
      <c r="R26" s="16">
        <v>0</v>
      </c>
      <c r="S26" s="14">
        <v>0</v>
      </c>
      <c r="T26" s="16">
        <v>0</v>
      </c>
    </row>
    <row r="27" spans="1:20" x14ac:dyDescent="0.25">
      <c r="A27" s="11" t="s">
        <v>160</v>
      </c>
      <c r="B27" s="13">
        <v>2683</v>
      </c>
      <c r="C27" s="14">
        <f>(2228/B27*100)</f>
        <v>83.041371598956388</v>
      </c>
      <c r="D27" s="15">
        <v>455</v>
      </c>
      <c r="E27" s="14">
        <v>68.910909410000002</v>
      </c>
      <c r="F27" s="16">
        <v>2.27665791</v>
      </c>
      <c r="G27" s="14">
        <v>21.51680743</v>
      </c>
      <c r="H27" s="16">
        <v>1.9835171199999999</v>
      </c>
      <c r="I27" s="14">
        <v>9.5722831700000004</v>
      </c>
      <c r="J27" s="16">
        <v>1.2802443800000001</v>
      </c>
      <c r="K27" s="14" t="s">
        <v>139</v>
      </c>
      <c r="L27" s="16" t="s">
        <v>139</v>
      </c>
      <c r="M27" s="14">
        <v>0</v>
      </c>
      <c r="N27" s="16">
        <v>0</v>
      </c>
      <c r="O27" s="14">
        <v>0</v>
      </c>
      <c r="P27" s="16">
        <v>0</v>
      </c>
      <c r="Q27" s="14">
        <v>0</v>
      </c>
      <c r="R27" s="16">
        <v>0</v>
      </c>
      <c r="S27" s="14">
        <v>0</v>
      </c>
      <c r="T27" s="16">
        <v>0</v>
      </c>
    </row>
    <row r="28" spans="1:20" x14ac:dyDescent="0.25">
      <c r="A28" s="11" t="s">
        <v>161</v>
      </c>
      <c r="B28" s="13">
        <v>3803</v>
      </c>
      <c r="C28" s="14">
        <f>(3209/B28*100)</f>
        <v>84.380752037864852</v>
      </c>
      <c r="D28" s="15">
        <v>594</v>
      </c>
      <c r="E28" s="14">
        <v>90.089229119999999</v>
      </c>
      <c r="F28" s="16">
        <v>1.39484371</v>
      </c>
      <c r="G28" s="14">
        <v>7.1642503299999998</v>
      </c>
      <c r="H28" s="16">
        <v>1.29163772</v>
      </c>
      <c r="I28" s="14">
        <v>2.74652056</v>
      </c>
      <c r="J28" s="16">
        <v>0.63238724999999996</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(2265/B29*100)</f>
        <v>83.888888888888886</v>
      </c>
      <c r="D29" s="15">
        <v>435</v>
      </c>
      <c r="E29" s="14">
        <v>60.7814628</v>
      </c>
      <c r="F29" s="16">
        <v>2.29613639</v>
      </c>
      <c r="G29" s="14">
        <v>21.554317019999999</v>
      </c>
      <c r="H29" s="16">
        <v>1.9514946399999999</v>
      </c>
      <c r="I29" s="14">
        <v>17.664220180000001</v>
      </c>
      <c r="J29" s="16">
        <v>2.03377389</v>
      </c>
      <c r="K29" s="14" t="s">
        <v>139</v>
      </c>
      <c r="L29" s="16" t="s">
        <v>139</v>
      </c>
      <c r="M29" s="14">
        <v>0</v>
      </c>
      <c r="N29" s="16">
        <v>0</v>
      </c>
      <c r="O29" s="14">
        <v>0</v>
      </c>
      <c r="P29" s="16">
        <v>0</v>
      </c>
      <c r="Q29" s="14">
        <v>0</v>
      </c>
      <c r="R29" s="16">
        <v>0</v>
      </c>
      <c r="S29" s="14">
        <v>0</v>
      </c>
      <c r="T29" s="16">
        <v>0</v>
      </c>
    </row>
    <row r="30" spans="1:20" x14ac:dyDescent="0.25">
      <c r="A30" s="11" t="s">
        <v>163</v>
      </c>
      <c r="B30" s="13">
        <v>2257</v>
      </c>
      <c r="C30" s="14">
        <f>(1911/B30*100)</f>
        <v>84.669915817456797</v>
      </c>
      <c r="D30" s="15">
        <v>346</v>
      </c>
      <c r="E30" s="14">
        <v>71.272332390000003</v>
      </c>
      <c r="F30" s="16">
        <v>2.4934402599999999</v>
      </c>
      <c r="G30" s="14">
        <v>17.98994033</v>
      </c>
      <c r="H30" s="16">
        <v>1.84815101</v>
      </c>
      <c r="I30" s="14">
        <v>10.73772729</v>
      </c>
      <c r="J30" s="16">
        <v>2.1268862199999998</v>
      </c>
      <c r="K30" s="14" t="s">
        <v>139</v>
      </c>
      <c r="L30" s="16" t="s">
        <v>139</v>
      </c>
      <c r="M30" s="14">
        <v>0</v>
      </c>
      <c r="N30" s="16">
        <v>0</v>
      </c>
      <c r="O30" s="14">
        <v>0</v>
      </c>
      <c r="P30" s="16">
        <v>0</v>
      </c>
      <c r="Q30" s="14">
        <v>0</v>
      </c>
      <c r="R30" s="16">
        <v>0</v>
      </c>
      <c r="S30" s="14">
        <v>0</v>
      </c>
      <c r="T30" s="16">
        <v>0</v>
      </c>
    </row>
    <row r="31" spans="1:20" x14ac:dyDescent="0.25">
      <c r="A31" s="11" t="s">
        <v>164</v>
      </c>
      <c r="B31" s="13">
        <v>2706</v>
      </c>
      <c r="C31" s="14">
        <f>(2247/B31*100)</f>
        <v>83.037694013303764</v>
      </c>
      <c r="D31" s="15">
        <v>459</v>
      </c>
      <c r="E31" s="14">
        <v>65.710098919999993</v>
      </c>
      <c r="F31" s="16">
        <v>2.3342113000000002</v>
      </c>
      <c r="G31" s="14">
        <v>24.06776515</v>
      </c>
      <c r="H31" s="16">
        <v>1.8779782899999999</v>
      </c>
      <c r="I31" s="14">
        <v>10.22213593</v>
      </c>
      <c r="J31" s="16">
        <v>1.50648531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(3051/B33*100)</f>
        <v>83.566146261298286</v>
      </c>
      <c r="D33" s="15">
        <v>600</v>
      </c>
      <c r="E33" s="14">
        <v>73.345112880000002</v>
      </c>
      <c r="F33" s="16">
        <v>2.11365333</v>
      </c>
      <c r="G33" s="14">
        <v>16.023695119999999</v>
      </c>
      <c r="H33" s="16">
        <v>1.8807857400000001</v>
      </c>
      <c r="I33" s="14">
        <v>10.631192</v>
      </c>
      <c r="J33" s="16">
        <v>1.5007997200000001</v>
      </c>
      <c r="K33" s="14" t="s">
        <v>139</v>
      </c>
      <c r="L33" s="16" t="s">
        <v>139</v>
      </c>
      <c r="M33" s="14">
        <v>0</v>
      </c>
      <c r="N33" s="16">
        <v>0</v>
      </c>
      <c r="O33" s="14">
        <v>0</v>
      </c>
      <c r="P33" s="16">
        <v>0</v>
      </c>
      <c r="Q33" s="14">
        <v>0</v>
      </c>
      <c r="R33" s="16">
        <v>0</v>
      </c>
      <c r="S33" s="14">
        <v>0</v>
      </c>
      <c r="T33" s="16">
        <v>0</v>
      </c>
    </row>
    <row r="34" spans="1:20" x14ac:dyDescent="0.25">
      <c r="A34" s="11" t="s">
        <v>167</v>
      </c>
      <c r="B34" s="13">
        <v>3035</v>
      </c>
      <c r="C34" s="14">
        <f>(2544/B34*100)</f>
        <v>83.82207578253707</v>
      </c>
      <c r="D34" s="15">
        <v>491</v>
      </c>
      <c r="E34" s="14">
        <v>78.375664490000005</v>
      </c>
      <c r="F34" s="16">
        <v>1.66877495</v>
      </c>
      <c r="G34" s="14">
        <v>17.45679896</v>
      </c>
      <c r="H34" s="16">
        <v>1.45192023</v>
      </c>
      <c r="I34" s="14">
        <v>4.1675365500000003</v>
      </c>
      <c r="J34" s="16">
        <v>0.92231116999999996</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(2422/B35*100)</f>
        <v>83.488452257842127</v>
      </c>
      <c r="D35" s="15">
        <v>479</v>
      </c>
      <c r="E35" s="14">
        <v>77.764122880000002</v>
      </c>
      <c r="F35" s="16">
        <v>2.4994813800000002</v>
      </c>
      <c r="G35" s="14">
        <v>13.90416862</v>
      </c>
      <c r="H35" s="16">
        <v>1.9426490700000001</v>
      </c>
      <c r="I35" s="14">
        <v>8.3317085100000003</v>
      </c>
      <c r="J35" s="16">
        <v>1.5487698400000001</v>
      </c>
      <c r="K35" s="14" t="s">
        <v>139</v>
      </c>
      <c r="L35" s="16" t="s">
        <v>139</v>
      </c>
      <c r="M35" s="14">
        <v>0</v>
      </c>
      <c r="N35" s="16">
        <v>0</v>
      </c>
      <c r="O35" s="14">
        <v>0</v>
      </c>
      <c r="P35" s="16">
        <v>0</v>
      </c>
      <c r="Q35" s="14">
        <v>0</v>
      </c>
      <c r="R35" s="16">
        <v>0</v>
      </c>
      <c r="S35" s="14">
        <v>0</v>
      </c>
      <c r="T35" s="16">
        <v>0</v>
      </c>
    </row>
    <row r="36" spans="1:20" x14ac:dyDescent="0.25">
      <c r="A36" s="11" t="s">
        <v>169</v>
      </c>
      <c r="B36" s="13">
        <v>3404</v>
      </c>
      <c r="C36" s="14">
        <f>(2843/B36*100)</f>
        <v>83.519388954171561</v>
      </c>
      <c r="D36" s="15">
        <v>561</v>
      </c>
      <c r="E36" s="14">
        <v>75.40331544</v>
      </c>
      <c r="F36" s="16">
        <v>1.74142603</v>
      </c>
      <c r="G36" s="14">
        <v>19.608565389999999</v>
      </c>
      <c r="H36" s="16">
        <v>1.6479653400000001</v>
      </c>
      <c r="I36" s="14">
        <v>4.98811917</v>
      </c>
      <c r="J36" s="16">
        <v>0.77264917</v>
      </c>
      <c r="K36" s="14" t="s">
        <v>139</v>
      </c>
      <c r="L36" s="16" t="s">
        <v>139</v>
      </c>
      <c r="M36" s="14">
        <v>0</v>
      </c>
      <c r="N36" s="16">
        <v>0</v>
      </c>
      <c r="O36" s="14">
        <v>0</v>
      </c>
      <c r="P36" s="16">
        <v>0</v>
      </c>
      <c r="Q36" s="14">
        <v>0</v>
      </c>
      <c r="R36" s="16">
        <v>0</v>
      </c>
      <c r="S36" s="14">
        <v>0</v>
      </c>
      <c r="T36" s="16">
        <v>0</v>
      </c>
    </row>
    <row r="37" spans="1:20" x14ac:dyDescent="0.25">
      <c r="A37" s="11" t="s">
        <v>170</v>
      </c>
      <c r="B37" s="13">
        <v>2731</v>
      </c>
      <c r="C37" s="14">
        <f>(2280/B37*100)</f>
        <v>83.485902599780303</v>
      </c>
      <c r="D37" s="15">
        <v>451</v>
      </c>
      <c r="E37" s="14">
        <v>66.199842599999997</v>
      </c>
      <c r="F37" s="16">
        <v>2.12710628</v>
      </c>
      <c r="G37" s="14">
        <v>22.085712210000001</v>
      </c>
      <c r="H37" s="16">
        <v>1.8689225199999999</v>
      </c>
      <c r="I37" s="14">
        <v>11.714445189999999</v>
      </c>
      <c r="J37" s="16">
        <v>1.5309940099999999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(2414/B39*100)</f>
        <v>82.164737916950301</v>
      </c>
      <c r="D39" s="15">
        <v>524</v>
      </c>
      <c r="E39" s="14">
        <v>84.569184460000002</v>
      </c>
      <c r="F39" s="16">
        <v>1.75997377</v>
      </c>
      <c r="G39" s="14">
        <v>10.398600330000001</v>
      </c>
      <c r="H39" s="16">
        <v>1.60452456</v>
      </c>
      <c r="I39" s="14">
        <v>5.0322152100000004</v>
      </c>
      <c r="J39" s="16">
        <v>1.06169677</v>
      </c>
      <c r="K39" s="14" t="s">
        <v>139</v>
      </c>
      <c r="L39" s="16" t="s">
        <v>139</v>
      </c>
      <c r="M39" s="14">
        <v>0</v>
      </c>
      <c r="N39" s="16">
        <v>0</v>
      </c>
      <c r="O39" s="14">
        <v>0</v>
      </c>
      <c r="P39" s="16">
        <v>0</v>
      </c>
      <c r="Q39" s="14">
        <v>0</v>
      </c>
      <c r="R39" s="16">
        <v>0</v>
      </c>
      <c r="S39" s="14">
        <v>0</v>
      </c>
      <c r="T39" s="16">
        <v>0</v>
      </c>
    </row>
    <row r="40" spans="1:20" x14ac:dyDescent="0.25">
      <c r="A40" s="11" t="s">
        <v>173</v>
      </c>
      <c r="B40" s="13">
        <v>6922</v>
      </c>
      <c r="C40" s="14">
        <f>(5740/B40*100)</f>
        <v>82.924010401618034</v>
      </c>
      <c r="D40" s="15">
        <v>1182</v>
      </c>
      <c r="E40" s="14">
        <v>70.051675560000007</v>
      </c>
      <c r="F40" s="16">
        <v>1.98686707</v>
      </c>
      <c r="G40" s="14">
        <v>17.27487532</v>
      </c>
      <c r="H40" s="16">
        <v>1.8455179500000001</v>
      </c>
      <c r="I40" s="14">
        <v>12.673449120000001</v>
      </c>
      <c r="J40" s="16">
        <v>1.6486188500000001</v>
      </c>
      <c r="K40" s="14" t="s">
        <v>139</v>
      </c>
      <c r="L40" s="16" t="s">
        <v>139</v>
      </c>
      <c r="M40" s="14">
        <v>0</v>
      </c>
      <c r="N40" s="16">
        <v>0</v>
      </c>
      <c r="O40" s="14">
        <v>0</v>
      </c>
      <c r="P40" s="16">
        <v>0</v>
      </c>
      <c r="Q40" s="14">
        <v>0</v>
      </c>
      <c r="R40" s="16">
        <v>0</v>
      </c>
      <c r="S40" s="14">
        <v>0</v>
      </c>
      <c r="T40" s="16">
        <v>0</v>
      </c>
    </row>
    <row r="41" spans="1:20" x14ac:dyDescent="0.25">
      <c r="A41" s="11" t="s">
        <v>174</v>
      </c>
      <c r="B41" s="13">
        <v>2854</v>
      </c>
      <c r="C41" s="14">
        <f>(2356/B41*100)</f>
        <v>82.550805886475118</v>
      </c>
      <c r="D41" s="15">
        <v>498</v>
      </c>
      <c r="E41" s="14">
        <v>73.83877287</v>
      </c>
      <c r="F41" s="16">
        <v>1.92526873</v>
      </c>
      <c r="G41" s="14">
        <v>16.076950830000001</v>
      </c>
      <c r="H41" s="16">
        <v>1.7732882700000001</v>
      </c>
      <c r="I41" s="14">
        <v>10.08427629</v>
      </c>
      <c r="J41" s="16">
        <v>1.71379408</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83.213859190561493</v>
      </c>
      <c r="D42" s="15">
        <f>IF(COUNT(D7:D41) &gt; 0, AVERAGE(D7:D41), "—")</f>
        <v>606.40625</v>
      </c>
      <c r="E42" s="14">
        <f>IF(COUNT(E7:E41) &gt; 0, AVERAGE(E7:E41), "—")</f>
        <v>74.433633978125016</v>
      </c>
      <c r="F42" s="16">
        <f>IF(COUNT(F7:F41) &gt; 0, SQRT(SUMSQ(F7:F41)/(COUNT(F7:F41)*COUNT(F7:F41)) ), "—")</f>
        <v>0.35818651737695051</v>
      </c>
      <c r="G42" s="14">
        <f>IF(COUNT(G7:G41) &gt; 0, AVERAGE(G7:G41), "—")</f>
        <v>16.361421811875001</v>
      </c>
      <c r="H42" s="16">
        <f>IF(COUNT(H7:H41) &gt; 0, SQRT(SUMSQ(H7:H41)/(COUNT(H7:H41)*COUNT(H7:H41)) ), "—")</f>
        <v>0.30606451801906343</v>
      </c>
      <c r="I42" s="14">
        <f>IF(COUNT(I7:I41) &gt; 0, AVERAGE(I7:I41), "—")</f>
        <v>9.2049442096874987</v>
      </c>
      <c r="J42" s="16">
        <f>IF(COUNT(J7:J41) &gt; 0, SQRT(SUMSQ(J7:J41)/(COUNT(J7:J41)*COUNT(J7:J41)) ), "—")</f>
        <v>0.23797433698520662</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(10528/B46*100)</f>
        <v>87.2028493332229</v>
      </c>
      <c r="D46" s="15">
        <v>1545</v>
      </c>
      <c r="E46" s="14">
        <v>84.476092370000003</v>
      </c>
      <c r="F46" s="16">
        <v>1.06661674</v>
      </c>
      <c r="G46" s="14">
        <v>12.66966678</v>
      </c>
      <c r="H46" s="16">
        <v>1.06674607</v>
      </c>
      <c r="I46" s="14">
        <v>2.8542408400000001</v>
      </c>
      <c r="J46" s="16">
        <v>0.54863097999999999</v>
      </c>
      <c r="K46" s="14" t="s">
        <v>139</v>
      </c>
      <c r="L46" s="16" t="s">
        <v>139</v>
      </c>
      <c r="M46" s="14">
        <v>0</v>
      </c>
      <c r="N46" s="16">
        <v>0</v>
      </c>
      <c r="O46" s="14">
        <v>0</v>
      </c>
      <c r="P46" s="16">
        <v>0</v>
      </c>
      <c r="Q46" s="14">
        <v>0</v>
      </c>
      <c r="R46" s="16">
        <v>0</v>
      </c>
      <c r="S46" s="14">
        <v>0</v>
      </c>
      <c r="T46" s="16">
        <v>0</v>
      </c>
    </row>
    <row r="47" spans="1:20" x14ac:dyDescent="0.25">
      <c r="A47" s="11" t="s">
        <v>180</v>
      </c>
      <c r="B47" s="13">
        <v>2823</v>
      </c>
      <c r="C47" s="14">
        <f>(2353/B47*100)</f>
        <v>83.351044987601838</v>
      </c>
      <c r="D47" s="15">
        <v>470</v>
      </c>
      <c r="E47" s="14">
        <v>83.45394374</v>
      </c>
      <c r="F47" s="16">
        <v>1.49990998</v>
      </c>
      <c r="G47" s="14">
        <v>7.72158079</v>
      </c>
      <c r="H47" s="16">
        <v>1.1597227699999999</v>
      </c>
      <c r="I47" s="14">
        <v>8.8244754800000003</v>
      </c>
      <c r="J47" s="16">
        <v>1.2225458199999999</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(3888/B48*100)</f>
        <v>83.041435284066637</v>
      </c>
      <c r="D48" s="15">
        <v>794</v>
      </c>
      <c r="E48" s="14">
        <v>80.00952719</v>
      </c>
      <c r="F48" s="16">
        <v>2.1108581700000002</v>
      </c>
      <c r="G48" s="14">
        <v>10.33104492</v>
      </c>
      <c r="H48" s="16">
        <v>1.38447703</v>
      </c>
      <c r="I48" s="14">
        <v>9.6594278899999999</v>
      </c>
      <c r="J48" s="16">
        <v>1.5885359999999999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(5168/B50*100)</f>
        <v>83.923351737577136</v>
      </c>
      <c r="D50" s="15">
        <v>990</v>
      </c>
      <c r="E50" s="14">
        <v>86.602818479999996</v>
      </c>
      <c r="F50" s="16">
        <v>1.6501147700000001</v>
      </c>
      <c r="G50" s="14">
        <v>8.8120359399999995</v>
      </c>
      <c r="H50" s="16">
        <v>1.30700763</v>
      </c>
      <c r="I50" s="14">
        <v>4.5851455799999998</v>
      </c>
      <c r="J50" s="16">
        <v>0.89623390999999997</v>
      </c>
      <c r="K50" s="14" t="s">
        <v>139</v>
      </c>
      <c r="L50" s="16" t="s">
        <v>139</v>
      </c>
      <c r="M50" s="14">
        <v>0</v>
      </c>
      <c r="N50" s="16">
        <v>0</v>
      </c>
      <c r="O50" s="14">
        <v>0</v>
      </c>
      <c r="P50" s="16">
        <v>0</v>
      </c>
      <c r="Q50" s="14">
        <v>0</v>
      </c>
      <c r="R50" s="16">
        <v>0</v>
      </c>
      <c r="S50" s="14">
        <v>0</v>
      </c>
      <c r="T50" s="16">
        <v>0</v>
      </c>
    </row>
    <row r="51" spans="1:20" x14ac:dyDescent="0.25">
      <c r="A51" s="11" t="s">
        <v>184</v>
      </c>
      <c r="B51" s="13">
        <v>3494</v>
      </c>
      <c r="C51" s="14">
        <f>(3000/B51*100)</f>
        <v>85.861476817401268</v>
      </c>
      <c r="D51" s="15">
        <v>494</v>
      </c>
      <c r="E51" s="14">
        <v>89.183763339999999</v>
      </c>
      <c r="F51" s="16">
        <v>1.5558007</v>
      </c>
      <c r="G51" s="14">
        <v>9.4455152499999997</v>
      </c>
      <c r="H51" s="16">
        <v>1.3474005600000001</v>
      </c>
      <c r="I51" s="14">
        <v>1.37072141</v>
      </c>
      <c r="J51" s="16">
        <v>0.52278623999999996</v>
      </c>
      <c r="K51" s="14" t="s">
        <v>139</v>
      </c>
      <c r="L51" s="16" t="s">
        <v>139</v>
      </c>
      <c r="M51" s="14">
        <v>0</v>
      </c>
      <c r="N51" s="16">
        <v>0</v>
      </c>
      <c r="O51" s="14">
        <v>0</v>
      </c>
      <c r="P51" s="16">
        <v>0</v>
      </c>
      <c r="Q51" s="14">
        <v>0</v>
      </c>
      <c r="R51" s="16">
        <v>0</v>
      </c>
      <c r="S51" s="14">
        <v>0</v>
      </c>
      <c r="T51" s="16">
        <v>0</v>
      </c>
    </row>
    <row r="52" spans="1:20" x14ac:dyDescent="0.25">
      <c r="A52" s="11" t="s">
        <v>185</v>
      </c>
      <c r="B52" s="13">
        <v>3013</v>
      </c>
      <c r="C52" s="14">
        <f>(2499/B52*100)</f>
        <v>82.940590773315634</v>
      </c>
      <c r="D52" s="15">
        <v>514</v>
      </c>
      <c r="E52" s="14">
        <v>79.615180129999999</v>
      </c>
      <c r="F52" s="16">
        <v>2.0515863900000002</v>
      </c>
      <c r="G52" s="14">
        <v>13.36216325</v>
      </c>
      <c r="H52" s="16">
        <v>1.4780525200000001</v>
      </c>
      <c r="I52" s="14">
        <v>7.0226566300000002</v>
      </c>
      <c r="J52" s="16">
        <v>1.2929823899999999</v>
      </c>
      <c r="K52" s="14" t="s">
        <v>139</v>
      </c>
      <c r="L52" s="16" t="s">
        <v>139</v>
      </c>
      <c r="M52" s="14">
        <v>0</v>
      </c>
      <c r="N52" s="16">
        <v>0</v>
      </c>
      <c r="O52" s="14">
        <v>0</v>
      </c>
      <c r="P52" s="16">
        <v>0</v>
      </c>
      <c r="Q52" s="14">
        <v>0</v>
      </c>
      <c r="R52" s="16">
        <v>0</v>
      </c>
      <c r="S52" s="14">
        <v>0</v>
      </c>
      <c r="T52" s="16">
        <v>0</v>
      </c>
    </row>
    <row r="53" spans="1:20" x14ac:dyDescent="0.25">
      <c r="A53" s="11" t="s">
        <v>186</v>
      </c>
      <c r="B53" s="13">
        <v>2760</v>
      </c>
      <c r="C53" s="14">
        <f>(2316/B53*100)</f>
        <v>83.913043478260875</v>
      </c>
      <c r="D53" s="15">
        <v>444</v>
      </c>
      <c r="E53" s="14">
        <v>82.484929949999994</v>
      </c>
      <c r="F53" s="16">
        <v>1.94151132</v>
      </c>
      <c r="G53" s="14">
        <v>10.03790787</v>
      </c>
      <c r="H53" s="16">
        <v>1.36366432</v>
      </c>
      <c r="I53" s="14">
        <v>7.4771621799999997</v>
      </c>
      <c r="J53" s="16">
        <v>1.3354842600000001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(2209/B56*100)</f>
        <v>82.579439252336456</v>
      </c>
      <c r="D56" s="15">
        <v>466</v>
      </c>
      <c r="E56" s="14">
        <v>62.696909349999999</v>
      </c>
      <c r="F56" s="16">
        <v>2.2793708100000001</v>
      </c>
      <c r="G56" s="14">
        <v>19.33995208</v>
      </c>
      <c r="H56" s="16">
        <v>2.0389568300000001</v>
      </c>
      <c r="I56" s="14">
        <v>17.963138570000002</v>
      </c>
      <c r="J56" s="16">
        <v>1.50268154</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(2653/B61*100)</f>
        <v>82.880349890659161</v>
      </c>
      <c r="D61" s="15">
        <v>548</v>
      </c>
      <c r="E61" s="14">
        <v>82.110163630000002</v>
      </c>
      <c r="F61" s="16">
        <v>1.6756726200000001</v>
      </c>
      <c r="G61" s="14">
        <v>10.58183657</v>
      </c>
      <c r="H61" s="16">
        <v>1.3923403999999999</v>
      </c>
      <c r="I61" s="14">
        <v>7.3079997900000002</v>
      </c>
      <c r="J61" s="16">
        <v>1.2735339999999999</v>
      </c>
      <c r="K61" s="14" t="s">
        <v>139</v>
      </c>
      <c r="L61" s="16" t="s">
        <v>139</v>
      </c>
      <c r="M61" s="14">
        <v>0</v>
      </c>
      <c r="N61" s="16">
        <v>0</v>
      </c>
      <c r="O61" s="14">
        <v>0</v>
      </c>
      <c r="P61" s="16">
        <v>0</v>
      </c>
      <c r="Q61" s="14">
        <v>0</v>
      </c>
      <c r="R61" s="16">
        <v>0</v>
      </c>
      <c r="S61" s="14">
        <v>0</v>
      </c>
      <c r="T61" s="16">
        <v>0</v>
      </c>
    </row>
    <row r="62" spans="1:20" x14ac:dyDescent="0.25">
      <c r="A62" s="11" t="s">
        <v>195</v>
      </c>
      <c r="B62" s="13">
        <v>2230</v>
      </c>
      <c r="C62" s="14">
        <f>(1860/B62*100)</f>
        <v>83.408071748878925</v>
      </c>
      <c r="D62" s="15">
        <v>370</v>
      </c>
      <c r="E62" s="14">
        <v>73.529533749999999</v>
      </c>
      <c r="F62" s="16">
        <v>2.4796205100000002</v>
      </c>
      <c r="G62" s="14">
        <v>17.00231509</v>
      </c>
      <c r="H62" s="16">
        <v>2.1866726399999998</v>
      </c>
      <c r="I62" s="14">
        <v>9.4681511599999997</v>
      </c>
      <c r="J62" s="16">
        <v>1.4810972</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(2300/B66*100)</f>
        <v>83.002526163839775</v>
      </c>
      <c r="D66" s="15">
        <v>471</v>
      </c>
      <c r="E66" s="14">
        <v>85.787516319999995</v>
      </c>
      <c r="F66" s="16">
        <v>1.7692583099999999</v>
      </c>
      <c r="G66" s="14">
        <v>9.8920257199999995</v>
      </c>
      <c r="H66" s="16">
        <v>1.5354034400000001</v>
      </c>
      <c r="I66" s="14">
        <v>4.3204579699999996</v>
      </c>
      <c r="J66" s="16">
        <v>0.85326674999999996</v>
      </c>
      <c r="K66" s="14" t="s">
        <v>139</v>
      </c>
      <c r="L66" s="16" t="s">
        <v>139</v>
      </c>
      <c r="M66" s="14">
        <v>0</v>
      </c>
      <c r="N66" s="16">
        <v>0</v>
      </c>
      <c r="O66" s="14">
        <v>0</v>
      </c>
      <c r="P66" s="16">
        <v>0</v>
      </c>
      <c r="Q66" s="14">
        <v>0</v>
      </c>
      <c r="R66" s="16">
        <v>0</v>
      </c>
      <c r="S66" s="14">
        <v>0</v>
      </c>
      <c r="T66" s="16">
        <v>0</v>
      </c>
    </row>
    <row r="67" spans="1:20" x14ac:dyDescent="0.25">
      <c r="A67" s="11" t="s">
        <v>200</v>
      </c>
      <c r="B67" s="13">
        <v>3460</v>
      </c>
      <c r="C67" s="14">
        <f>(2969/B67*100)</f>
        <v>85.809248554913296</v>
      </c>
      <c r="D67" s="15">
        <v>491</v>
      </c>
      <c r="E67" s="14">
        <v>88.714217619999999</v>
      </c>
      <c r="F67" s="16">
        <v>1.4254827800000001</v>
      </c>
      <c r="G67" s="14">
        <v>8.3586946500000003</v>
      </c>
      <c r="H67" s="16">
        <v>1.0866330099999999</v>
      </c>
      <c r="I67" s="14">
        <v>2.9270877400000002</v>
      </c>
      <c r="J67" s="16">
        <v>0.83020028000000001</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(2579/B70*100)</f>
        <v>83.006115223688454</v>
      </c>
      <c r="D70" s="15">
        <v>528</v>
      </c>
      <c r="E70" s="14">
        <v>80.022241199999996</v>
      </c>
      <c r="F70" s="16">
        <v>2.3555102899999998</v>
      </c>
      <c r="G70" s="14">
        <v>16.381361600000002</v>
      </c>
      <c r="H70" s="16">
        <v>2.3008547199999998</v>
      </c>
      <c r="I70" s="14">
        <v>3.5963972000000002</v>
      </c>
      <c r="J70" s="16">
        <v>0.80478165999999995</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(3156/B72*100)</f>
        <v>82.639434406912798</v>
      </c>
      <c r="D72" s="15">
        <v>663</v>
      </c>
      <c r="E72" s="14">
        <v>69.185901040000005</v>
      </c>
      <c r="F72" s="16">
        <v>2.3067564900000002</v>
      </c>
      <c r="G72" s="14">
        <v>18.02933676</v>
      </c>
      <c r="H72" s="16">
        <v>1.38744789</v>
      </c>
      <c r="I72" s="14">
        <v>12.78476221</v>
      </c>
      <c r="J72" s="16">
        <v>1.8177870899999999</v>
      </c>
      <c r="K72" s="14" t="s">
        <v>139</v>
      </c>
      <c r="L72" s="16" t="s">
        <v>139</v>
      </c>
      <c r="M72" s="14">
        <v>0</v>
      </c>
      <c r="N72" s="16">
        <v>0</v>
      </c>
      <c r="O72" s="14">
        <v>0</v>
      </c>
      <c r="P72" s="16">
        <v>0</v>
      </c>
      <c r="Q72" s="14">
        <v>0</v>
      </c>
      <c r="R72" s="16">
        <v>0</v>
      </c>
      <c r="S72" s="14">
        <v>0</v>
      </c>
      <c r="T72" s="16">
        <v>0</v>
      </c>
    </row>
    <row r="73" spans="1:20" x14ac:dyDescent="0.25">
      <c r="A73" s="11" t="s">
        <v>206</v>
      </c>
      <c r="B73" s="13">
        <v>4652</v>
      </c>
      <c r="C73" s="14">
        <f>(3927/B73*100)</f>
        <v>84.41530524505589</v>
      </c>
      <c r="D73" s="15">
        <v>725</v>
      </c>
      <c r="E73" s="14">
        <v>81.763859069999995</v>
      </c>
      <c r="F73" s="16">
        <v>1.7860841700000001</v>
      </c>
      <c r="G73" s="14">
        <v>8.93572582</v>
      </c>
      <c r="H73" s="16">
        <v>1.0794360700000001</v>
      </c>
      <c r="I73" s="14">
        <v>9.3004151099999994</v>
      </c>
      <c r="J73" s="16">
        <v>1.29895256</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(2524/B75*100)</f>
        <v>85.011788480970012</v>
      </c>
      <c r="D75" s="15">
        <v>445</v>
      </c>
      <c r="E75" s="14">
        <v>79.901952339999994</v>
      </c>
      <c r="F75" s="16">
        <v>1.7778693000000001</v>
      </c>
      <c r="G75" s="14">
        <v>10.825973299999999</v>
      </c>
      <c r="H75" s="16">
        <v>1.5803751699999999</v>
      </c>
      <c r="I75" s="14">
        <v>9.2720743599999995</v>
      </c>
      <c r="J75" s="16">
        <v>1.27204571</v>
      </c>
      <c r="K75" s="14" t="s">
        <v>139</v>
      </c>
      <c r="L75" s="16" t="s">
        <v>139</v>
      </c>
      <c r="M75" s="14">
        <v>0</v>
      </c>
      <c r="N75" s="16">
        <v>0</v>
      </c>
      <c r="O75" s="14">
        <v>0</v>
      </c>
      <c r="P75" s="16">
        <v>0</v>
      </c>
      <c r="Q75" s="14">
        <v>0</v>
      </c>
      <c r="R75" s="16">
        <v>0</v>
      </c>
      <c r="S75" s="14">
        <v>0</v>
      </c>
      <c r="T75" s="16">
        <v>0</v>
      </c>
    </row>
    <row r="76" spans="1:20" x14ac:dyDescent="0.25">
      <c r="A76" s="11" t="s">
        <v>209</v>
      </c>
      <c r="B76" s="13">
        <v>7115</v>
      </c>
      <c r="C76" s="14">
        <f>(5913/B76*100)</f>
        <v>83.106113843991565</v>
      </c>
      <c r="D76" s="15">
        <v>1202</v>
      </c>
      <c r="E76" s="14">
        <v>81.745370910000005</v>
      </c>
      <c r="F76" s="16">
        <v>1.47832838</v>
      </c>
      <c r="G76" s="14">
        <v>11.979886560000001</v>
      </c>
      <c r="H76" s="16">
        <v>1.1790001000000001</v>
      </c>
      <c r="I76" s="14">
        <v>6.2747425400000001</v>
      </c>
      <c r="J76" s="16">
        <v>0.70705994000000005</v>
      </c>
      <c r="K76" s="14" t="s">
        <v>139</v>
      </c>
      <c r="L76" s="16" t="s">
        <v>139</v>
      </c>
      <c r="M76" s="14">
        <v>0</v>
      </c>
      <c r="N76" s="16">
        <v>0</v>
      </c>
      <c r="O76" s="14">
        <v>0</v>
      </c>
      <c r="P76" s="16">
        <v>0</v>
      </c>
      <c r="Q76" s="14">
        <v>0</v>
      </c>
      <c r="R76" s="16">
        <v>0</v>
      </c>
      <c r="S76" s="14">
        <v>0</v>
      </c>
      <c r="T76" s="16">
        <v>0</v>
      </c>
    </row>
    <row r="77" spans="1:20" x14ac:dyDescent="0.25">
      <c r="A77" s="11" t="s">
        <v>210</v>
      </c>
      <c r="B77" s="13">
        <v>3154</v>
      </c>
      <c r="C77" s="14">
        <f>(2638/B77*100)</f>
        <v>83.639822447685475</v>
      </c>
      <c r="D77" s="15">
        <v>516</v>
      </c>
      <c r="E77" s="14">
        <v>86.011689290000007</v>
      </c>
      <c r="F77" s="16">
        <v>1.5519473100000001</v>
      </c>
      <c r="G77" s="14">
        <v>12.62972484</v>
      </c>
      <c r="H77" s="16">
        <v>1.4569056199999999</v>
      </c>
      <c r="I77" s="14">
        <v>1.3585858799999999</v>
      </c>
      <c r="J77" s="16">
        <v>0.52143722999999997</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(3899/B81*100)</f>
        <v>82.992762877820354</v>
      </c>
      <c r="D81" s="15">
        <v>799</v>
      </c>
      <c r="E81" s="14">
        <v>84.68327386</v>
      </c>
      <c r="F81" s="16">
        <v>1.6685686099999999</v>
      </c>
      <c r="G81" s="14">
        <v>9.9036889899999991</v>
      </c>
      <c r="H81" s="16">
        <v>1.42001497</v>
      </c>
      <c r="I81" s="14">
        <v>5.4130371400000001</v>
      </c>
      <c r="J81" s="16">
        <v>1.02054256</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340</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125</v>
      </c>
      <c r="F4" s="25"/>
      <c r="G4" s="24" t="s">
        <v>233</v>
      </c>
      <c r="H4" s="25"/>
      <c r="I4" s="24" t="s">
        <v>236</v>
      </c>
      <c r="J4" s="25"/>
      <c r="K4" s="24" t="s">
        <v>237</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7163</v>
      </c>
      <c r="C7" s="14">
        <f>(5948/B7*100)</f>
        <v>83.037833310065608</v>
      </c>
      <c r="D7" s="15">
        <v>1215</v>
      </c>
      <c r="E7" s="14">
        <v>10.604449539999999</v>
      </c>
      <c r="F7" s="16">
        <v>0.96832452999999996</v>
      </c>
      <c r="G7" s="14">
        <v>9.2706941900000004</v>
      </c>
      <c r="H7" s="16">
        <v>1.0812236399999999</v>
      </c>
      <c r="I7" s="14">
        <v>0.61076072000000003</v>
      </c>
      <c r="J7" s="16">
        <v>0.22537509</v>
      </c>
      <c r="K7" s="14">
        <v>79.514095549999993</v>
      </c>
      <c r="L7" s="16">
        <v>1.57326433</v>
      </c>
      <c r="M7" s="14" t="s">
        <v>139</v>
      </c>
      <c r="N7" s="16" t="s">
        <v>139</v>
      </c>
      <c r="O7" s="14">
        <v>0</v>
      </c>
      <c r="P7" s="16">
        <v>0</v>
      </c>
      <c r="Q7" s="14">
        <v>0</v>
      </c>
      <c r="R7" s="16">
        <v>0</v>
      </c>
      <c r="S7" s="14">
        <v>0</v>
      </c>
      <c r="T7" s="16">
        <v>0</v>
      </c>
      <c r="U7" s="14">
        <v>0</v>
      </c>
      <c r="V7" s="16">
        <v>0</v>
      </c>
    </row>
    <row r="8" spans="1:22" x14ac:dyDescent="0.25">
      <c r="A8" s="11" t="s">
        <v>140</v>
      </c>
      <c r="B8" s="13">
        <v>3443</v>
      </c>
      <c r="C8" s="14">
        <f>(2835/B8*100)</f>
        <v>82.340981702004072</v>
      </c>
      <c r="D8" s="15">
        <v>608</v>
      </c>
      <c r="E8" s="14">
        <v>14.519498779999999</v>
      </c>
      <c r="F8" s="16">
        <v>1.8381900799999999</v>
      </c>
      <c r="G8" s="14">
        <v>7.2331166099999997</v>
      </c>
      <c r="H8" s="16">
        <v>1.0045663199999999</v>
      </c>
      <c r="I8" s="14">
        <v>1.0934927999999999</v>
      </c>
      <c r="J8" s="16">
        <v>0.45003959999999998</v>
      </c>
      <c r="K8" s="14">
        <v>77.153891819999998</v>
      </c>
      <c r="L8" s="16">
        <v>2.0351889399999998</v>
      </c>
      <c r="M8" s="14" t="s">
        <v>139</v>
      </c>
      <c r="N8" s="16" t="s">
        <v>139</v>
      </c>
      <c r="O8" s="14">
        <v>0</v>
      </c>
      <c r="P8" s="16">
        <v>0</v>
      </c>
      <c r="Q8" s="14">
        <v>0</v>
      </c>
      <c r="R8" s="16">
        <v>0</v>
      </c>
      <c r="S8" s="14">
        <v>0</v>
      </c>
      <c r="T8" s="16">
        <v>0</v>
      </c>
      <c r="U8" s="14">
        <v>0</v>
      </c>
      <c r="V8" s="16">
        <v>0</v>
      </c>
    </row>
    <row r="9" spans="1:22" x14ac:dyDescent="0.25">
      <c r="A9" s="11" t="s">
        <v>141</v>
      </c>
      <c r="B9" s="13">
        <v>4752</v>
      </c>
      <c r="C9" s="14">
        <f>(3984/B9*100)</f>
        <v>83.838383838383834</v>
      </c>
      <c r="D9" s="15">
        <v>768</v>
      </c>
      <c r="E9" s="14">
        <v>14.54465946</v>
      </c>
      <c r="F9" s="16">
        <v>1.5437957899999999</v>
      </c>
      <c r="G9" s="14">
        <v>9.3616475799999996</v>
      </c>
      <c r="H9" s="16">
        <v>1.1906454900000001</v>
      </c>
      <c r="I9" s="14">
        <v>1.2778284200000001</v>
      </c>
      <c r="J9" s="16">
        <v>0.41107157</v>
      </c>
      <c r="K9" s="14">
        <v>74.815864540000007</v>
      </c>
      <c r="L9" s="16">
        <v>1.77154988</v>
      </c>
      <c r="M9" s="14" t="s">
        <v>139</v>
      </c>
      <c r="N9" s="16" t="s">
        <v>139</v>
      </c>
      <c r="O9" s="14">
        <v>0</v>
      </c>
      <c r="P9" s="16">
        <v>0</v>
      </c>
      <c r="Q9" s="14">
        <v>0</v>
      </c>
      <c r="R9" s="16">
        <v>0</v>
      </c>
      <c r="S9" s="14">
        <v>0</v>
      </c>
      <c r="T9" s="16">
        <v>0</v>
      </c>
      <c r="U9" s="14">
        <v>0</v>
      </c>
      <c r="V9" s="16">
        <v>0</v>
      </c>
    </row>
    <row r="10" spans="1:22" x14ac:dyDescent="0.25">
      <c r="A10" s="11" t="s">
        <v>142</v>
      </c>
      <c r="B10" s="13">
        <v>10022</v>
      </c>
      <c r="C10" s="14">
        <f>(8323/B10*100)</f>
        <v>83.047295948912392</v>
      </c>
      <c r="D10" s="15">
        <v>1699</v>
      </c>
      <c r="E10" s="14">
        <v>9.6784117900000002</v>
      </c>
      <c r="F10" s="16">
        <v>1.0076203800000001</v>
      </c>
      <c r="G10" s="14">
        <v>10.3452228</v>
      </c>
      <c r="H10" s="16">
        <v>1.0345023099999999</v>
      </c>
      <c r="I10" s="14">
        <v>0.86453104999999997</v>
      </c>
      <c r="J10" s="16">
        <v>0.30039320000000003</v>
      </c>
      <c r="K10" s="14">
        <v>79.111834349999995</v>
      </c>
      <c r="L10" s="16">
        <v>1.43327749</v>
      </c>
      <c r="M10" s="14" t="s">
        <v>139</v>
      </c>
      <c r="N10" s="16" t="s">
        <v>139</v>
      </c>
      <c r="O10" s="14">
        <v>0</v>
      </c>
      <c r="P10" s="16">
        <v>0</v>
      </c>
      <c r="Q10" s="14">
        <v>0</v>
      </c>
      <c r="R10" s="16">
        <v>0</v>
      </c>
      <c r="S10" s="14">
        <v>0</v>
      </c>
      <c r="T10" s="16">
        <v>0</v>
      </c>
      <c r="U10" s="14">
        <v>0</v>
      </c>
      <c r="V10" s="16">
        <v>0</v>
      </c>
    </row>
    <row r="11" spans="1:22" x14ac:dyDescent="0.25">
      <c r="A11" s="11" t="s">
        <v>143</v>
      </c>
      <c r="B11" s="13">
        <v>3500</v>
      </c>
      <c r="C11" s="14">
        <f>(2915/B11*100)</f>
        <v>83.285714285714292</v>
      </c>
      <c r="D11" s="15">
        <v>585</v>
      </c>
      <c r="E11" s="14">
        <v>25.04696796</v>
      </c>
      <c r="F11" s="16">
        <v>2.14829398</v>
      </c>
      <c r="G11" s="14">
        <v>15.37229821</v>
      </c>
      <c r="H11" s="16">
        <v>1.86187331</v>
      </c>
      <c r="I11" s="14">
        <v>1.3983315000000001</v>
      </c>
      <c r="J11" s="16">
        <v>0.52089554000000005</v>
      </c>
      <c r="K11" s="14">
        <v>58.182402320000001</v>
      </c>
      <c r="L11" s="16">
        <v>2.3887336399999999</v>
      </c>
      <c r="M11" s="14" t="s">
        <v>139</v>
      </c>
      <c r="N11" s="16" t="s">
        <v>139</v>
      </c>
      <c r="O11" s="14">
        <v>0</v>
      </c>
      <c r="P11" s="16">
        <v>0</v>
      </c>
      <c r="Q11" s="14">
        <v>0</v>
      </c>
      <c r="R11" s="16">
        <v>0</v>
      </c>
      <c r="S11" s="14">
        <v>0</v>
      </c>
      <c r="T11" s="16">
        <v>0</v>
      </c>
      <c r="U11" s="14">
        <v>0</v>
      </c>
      <c r="V11" s="16">
        <v>0</v>
      </c>
    </row>
    <row r="12" spans="1:22" x14ac:dyDescent="0.25">
      <c r="A12" s="11" t="s">
        <v>144</v>
      </c>
      <c r="B12" s="13">
        <v>3422</v>
      </c>
      <c r="C12" s="14">
        <f>(2874/B12*100)</f>
        <v>83.985973115137341</v>
      </c>
      <c r="D12" s="15">
        <v>548</v>
      </c>
      <c r="E12" s="14">
        <v>17.854586489999999</v>
      </c>
      <c r="F12" s="16">
        <v>2.0484386300000001</v>
      </c>
      <c r="G12" s="14">
        <v>8.8507301100000006</v>
      </c>
      <c r="H12" s="16">
        <v>1.3838957300000001</v>
      </c>
      <c r="I12" s="14">
        <v>1.23087189</v>
      </c>
      <c r="J12" s="16">
        <v>0.60842457999999999</v>
      </c>
      <c r="K12" s="14">
        <v>72.063811520000002</v>
      </c>
      <c r="L12" s="16">
        <v>2.1530863500000001</v>
      </c>
      <c r="M12" s="14" t="s">
        <v>139</v>
      </c>
      <c r="N12" s="16" t="s">
        <v>139</v>
      </c>
      <c r="O12" s="14">
        <v>0</v>
      </c>
      <c r="P12" s="16">
        <v>0</v>
      </c>
      <c r="Q12" s="14">
        <v>0</v>
      </c>
      <c r="R12" s="16">
        <v>0</v>
      </c>
      <c r="S12" s="14">
        <v>0</v>
      </c>
      <c r="T12" s="16">
        <v>0</v>
      </c>
      <c r="U12" s="14">
        <v>0</v>
      </c>
      <c r="V12" s="16">
        <v>0</v>
      </c>
    </row>
    <row r="13" spans="1:22" x14ac:dyDescent="0.25">
      <c r="A13" s="11" t="s">
        <v>145</v>
      </c>
      <c r="B13" s="13">
        <v>3602</v>
      </c>
      <c r="C13" s="14">
        <f>(3009/B13*100)</f>
        <v>83.53692393114936</v>
      </c>
      <c r="D13" s="15">
        <v>593</v>
      </c>
      <c r="E13" s="14">
        <v>10.029109399999999</v>
      </c>
      <c r="F13" s="16">
        <v>1.60143561</v>
      </c>
      <c r="G13" s="14">
        <v>7.3621161600000002</v>
      </c>
      <c r="H13" s="16">
        <v>1.2078865000000001</v>
      </c>
      <c r="I13" s="14">
        <v>0.71279309999999996</v>
      </c>
      <c r="J13" s="16">
        <v>0.39563830999999999</v>
      </c>
      <c r="K13" s="14">
        <v>81.895981340000006</v>
      </c>
      <c r="L13" s="16">
        <v>1.9963707799999999</v>
      </c>
      <c r="M13" s="14" t="s">
        <v>139</v>
      </c>
      <c r="N13" s="16" t="s">
        <v>139</v>
      </c>
      <c r="O13" s="14">
        <v>0</v>
      </c>
      <c r="P13" s="16">
        <v>0</v>
      </c>
      <c r="Q13" s="14">
        <v>0</v>
      </c>
      <c r="R13" s="16">
        <v>0</v>
      </c>
      <c r="S13" s="14">
        <v>0</v>
      </c>
      <c r="T13" s="16">
        <v>0</v>
      </c>
      <c r="U13" s="14">
        <v>0</v>
      </c>
      <c r="V13" s="16">
        <v>0</v>
      </c>
    </row>
    <row r="14" spans="1:22" x14ac:dyDescent="0.25">
      <c r="A14" s="11" t="s">
        <v>146</v>
      </c>
      <c r="B14" s="13">
        <v>2788</v>
      </c>
      <c r="C14" s="14">
        <f>(2309/B14*100)</f>
        <v>82.819225251076048</v>
      </c>
      <c r="D14" s="15">
        <v>479</v>
      </c>
      <c r="E14" s="14">
        <v>8.6402409700000007</v>
      </c>
      <c r="F14" s="16">
        <v>1.2992586100000001</v>
      </c>
      <c r="G14" s="14">
        <v>7.3288636900000004</v>
      </c>
      <c r="H14" s="16">
        <v>1.2167693100000001</v>
      </c>
      <c r="I14" s="14">
        <v>1.4815687900000001</v>
      </c>
      <c r="J14" s="16">
        <v>0.59093781000000001</v>
      </c>
      <c r="K14" s="14">
        <v>82.549326550000004</v>
      </c>
      <c r="L14" s="16">
        <v>1.81594532</v>
      </c>
      <c r="M14" s="14" t="s">
        <v>139</v>
      </c>
      <c r="N14" s="16" t="s">
        <v>139</v>
      </c>
      <c r="O14" s="14">
        <v>0</v>
      </c>
      <c r="P14" s="16">
        <v>0</v>
      </c>
      <c r="Q14" s="14">
        <v>0</v>
      </c>
      <c r="R14" s="16">
        <v>0</v>
      </c>
      <c r="S14" s="14">
        <v>0</v>
      </c>
      <c r="T14" s="16">
        <v>0</v>
      </c>
      <c r="U14" s="14">
        <v>0</v>
      </c>
      <c r="V14" s="16">
        <v>0</v>
      </c>
    </row>
    <row r="15" spans="1:22" x14ac:dyDescent="0.25">
      <c r="A15" s="11" t="s">
        <v>147</v>
      </c>
      <c r="B15" s="13">
        <v>2863</v>
      </c>
      <c r="C15" s="14">
        <f>(2367/B15*100)</f>
        <v>82.675515193852604</v>
      </c>
      <c r="D15" s="15">
        <v>496</v>
      </c>
      <c r="E15" s="14">
        <v>8.5414982500000001</v>
      </c>
      <c r="F15" s="16">
        <v>1.3375208999999999</v>
      </c>
      <c r="G15" s="14">
        <v>14.145758880000001</v>
      </c>
      <c r="H15" s="16">
        <v>1.63500398</v>
      </c>
      <c r="I15" s="14">
        <v>0.19562208</v>
      </c>
      <c r="J15" s="16">
        <v>0.19468464999999999</v>
      </c>
      <c r="K15" s="14">
        <v>77.117120790000001</v>
      </c>
      <c r="L15" s="16">
        <v>2.1211031500000002</v>
      </c>
      <c r="M15" s="14" t="s">
        <v>139</v>
      </c>
      <c r="N15" s="16" t="s">
        <v>139</v>
      </c>
      <c r="O15" s="14">
        <v>0</v>
      </c>
      <c r="P15" s="16">
        <v>0</v>
      </c>
      <c r="Q15" s="14">
        <v>0</v>
      </c>
      <c r="R15" s="16">
        <v>0</v>
      </c>
      <c r="S15" s="14">
        <v>0</v>
      </c>
      <c r="T15" s="16">
        <v>0</v>
      </c>
      <c r="U15" s="14">
        <v>0</v>
      </c>
      <c r="V15" s="16">
        <v>0</v>
      </c>
    </row>
    <row r="16" spans="1:22" x14ac:dyDescent="0.25">
      <c r="A16" s="11" t="s">
        <v>148</v>
      </c>
      <c r="B16" s="13">
        <v>3111</v>
      </c>
      <c r="C16" s="14">
        <f>(2573/B16*100)</f>
        <v>82.706525233044033</v>
      </c>
      <c r="D16" s="15">
        <v>538</v>
      </c>
      <c r="E16" s="14">
        <v>19.112760519999998</v>
      </c>
      <c r="F16" s="16">
        <v>1.81235049</v>
      </c>
      <c r="G16" s="14">
        <v>11.57713379</v>
      </c>
      <c r="H16" s="16">
        <v>1.27929099</v>
      </c>
      <c r="I16" s="14">
        <v>0.59233287999999995</v>
      </c>
      <c r="J16" s="16">
        <v>0.28317994000000002</v>
      </c>
      <c r="K16" s="14">
        <v>68.71777281</v>
      </c>
      <c r="L16" s="16">
        <v>1.9378639600000001</v>
      </c>
      <c r="M16" s="14" t="s">
        <v>139</v>
      </c>
      <c r="N16" s="16" t="s">
        <v>139</v>
      </c>
      <c r="O16" s="14">
        <v>0</v>
      </c>
      <c r="P16" s="16">
        <v>0</v>
      </c>
      <c r="Q16" s="14">
        <v>0</v>
      </c>
      <c r="R16" s="16">
        <v>0</v>
      </c>
      <c r="S16" s="14">
        <v>0</v>
      </c>
      <c r="T16" s="16">
        <v>0</v>
      </c>
      <c r="U16" s="14">
        <v>0</v>
      </c>
      <c r="V16" s="16">
        <v>0</v>
      </c>
    </row>
    <row r="17" spans="1:22" x14ac:dyDescent="0.25">
      <c r="A17" s="11" t="s">
        <v>149</v>
      </c>
      <c r="B17" s="13">
        <v>3197</v>
      </c>
      <c r="C17" s="14">
        <f>(2627/B17*100)</f>
        <v>82.170785111041596</v>
      </c>
      <c r="D17" s="15">
        <v>570</v>
      </c>
      <c r="E17" s="14">
        <v>12.79665494</v>
      </c>
      <c r="F17" s="16">
        <v>1.4846133500000001</v>
      </c>
      <c r="G17" s="14">
        <v>8.1064032299999997</v>
      </c>
      <c r="H17" s="16">
        <v>1.17394026</v>
      </c>
      <c r="I17" s="14">
        <v>0.85253601000000001</v>
      </c>
      <c r="J17" s="16">
        <v>0.36374757000000002</v>
      </c>
      <c r="K17" s="14">
        <v>78.244405819999997</v>
      </c>
      <c r="L17" s="16">
        <v>1.74672172</v>
      </c>
      <c r="M17" s="14" t="s">
        <v>139</v>
      </c>
      <c r="N17" s="16" t="s">
        <v>139</v>
      </c>
      <c r="O17" s="14">
        <v>0</v>
      </c>
      <c r="P17" s="16">
        <v>0</v>
      </c>
      <c r="Q17" s="14">
        <v>0</v>
      </c>
      <c r="R17" s="16">
        <v>0</v>
      </c>
      <c r="S17" s="14">
        <v>0</v>
      </c>
      <c r="T17" s="16">
        <v>0</v>
      </c>
      <c r="U17" s="14">
        <v>0</v>
      </c>
      <c r="V17" s="16">
        <v>0</v>
      </c>
    </row>
    <row r="18" spans="1:22" x14ac:dyDescent="0.25">
      <c r="A18" s="11" t="s">
        <v>150</v>
      </c>
      <c r="B18" s="13">
        <v>2706</v>
      </c>
      <c r="C18" s="14">
        <f>(2237/B18*100)</f>
        <v>82.668144863266818</v>
      </c>
      <c r="D18" s="15">
        <v>469</v>
      </c>
      <c r="E18" s="14">
        <v>29.670417669999999</v>
      </c>
      <c r="F18" s="16">
        <v>2.4862213099999999</v>
      </c>
      <c r="G18" s="14">
        <v>14.52883387</v>
      </c>
      <c r="H18" s="16">
        <v>1.3445376899999999</v>
      </c>
      <c r="I18" s="14">
        <v>1.6654584800000001</v>
      </c>
      <c r="J18" s="16">
        <v>0.50982048999999996</v>
      </c>
      <c r="K18" s="14">
        <v>54.135289989999997</v>
      </c>
      <c r="L18" s="16">
        <v>2.5624439200000002</v>
      </c>
      <c r="M18" s="14" t="s">
        <v>139</v>
      </c>
      <c r="N18" s="16" t="s">
        <v>139</v>
      </c>
      <c r="O18" s="14">
        <v>0</v>
      </c>
      <c r="P18" s="16">
        <v>0</v>
      </c>
      <c r="Q18" s="14">
        <v>0</v>
      </c>
      <c r="R18" s="16">
        <v>0</v>
      </c>
      <c r="S18" s="14">
        <v>0</v>
      </c>
      <c r="T18" s="16">
        <v>0</v>
      </c>
      <c r="U18" s="14">
        <v>0</v>
      </c>
      <c r="V18" s="16">
        <v>0</v>
      </c>
    </row>
    <row r="19" spans="1:22" x14ac:dyDescent="0.25">
      <c r="A19" s="11" t="s">
        <v>151</v>
      </c>
      <c r="B19" s="13">
        <v>2850</v>
      </c>
      <c r="C19" s="14">
        <f>(2377/B19*100)</f>
        <v>83.403508771929822</v>
      </c>
      <c r="D19" s="15">
        <v>473</v>
      </c>
      <c r="E19" s="14">
        <v>20.259912830000001</v>
      </c>
      <c r="F19" s="16">
        <v>2.46298745</v>
      </c>
      <c r="G19" s="14">
        <v>11.03171736</v>
      </c>
      <c r="H19" s="16">
        <v>1.5220265100000001</v>
      </c>
      <c r="I19" s="14">
        <v>2.4047859100000002</v>
      </c>
      <c r="J19" s="16">
        <v>0.87815650000000001</v>
      </c>
      <c r="K19" s="14">
        <v>66.303583900000007</v>
      </c>
      <c r="L19" s="16">
        <v>2.6430699999999998</v>
      </c>
      <c r="M19" s="14" t="s">
        <v>139</v>
      </c>
      <c r="N19" s="16" t="s">
        <v>139</v>
      </c>
      <c r="O19" s="14">
        <v>0</v>
      </c>
      <c r="P19" s="16">
        <v>0</v>
      </c>
      <c r="Q19" s="14">
        <v>0</v>
      </c>
      <c r="R19" s="16">
        <v>0</v>
      </c>
      <c r="S19" s="14">
        <v>0</v>
      </c>
      <c r="T19" s="16">
        <v>0</v>
      </c>
      <c r="U19" s="14">
        <v>0</v>
      </c>
      <c r="V19" s="16">
        <v>0</v>
      </c>
    </row>
    <row r="20" spans="1:22" x14ac:dyDescent="0.25">
      <c r="A20" s="11" t="s">
        <v>152</v>
      </c>
      <c r="B20" s="13">
        <v>1741</v>
      </c>
      <c r="C20" s="14">
        <f>(1443/B20*100)</f>
        <v>82.883400344629521</v>
      </c>
      <c r="D20" s="15">
        <v>298</v>
      </c>
      <c r="E20" s="14">
        <v>19.929938029999999</v>
      </c>
      <c r="F20" s="16">
        <v>2.3503690100000001</v>
      </c>
      <c r="G20" s="14">
        <v>14.03346211</v>
      </c>
      <c r="H20" s="16">
        <v>2.02114598</v>
      </c>
      <c r="I20" s="14">
        <v>1.39696603</v>
      </c>
      <c r="J20" s="16">
        <v>0.68402861999999998</v>
      </c>
      <c r="K20" s="14">
        <v>64.639633829999994</v>
      </c>
      <c r="L20" s="16">
        <v>2.8920033699999999</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3667</v>
      </c>
      <c r="C22" s="14">
        <f>(3138/B22*100)</f>
        <v>85.574038723752395</v>
      </c>
      <c r="D22" s="15">
        <v>529</v>
      </c>
      <c r="E22" s="14">
        <v>24.32536241</v>
      </c>
      <c r="F22" s="16">
        <v>2.4207386</v>
      </c>
      <c r="G22" s="14">
        <v>12.453118509999999</v>
      </c>
      <c r="H22" s="16">
        <v>1.52548146</v>
      </c>
      <c r="I22" s="14">
        <v>2.1186803900000002</v>
      </c>
      <c r="J22" s="16">
        <v>0.62106258999999997</v>
      </c>
      <c r="K22" s="14">
        <v>61.102838689999999</v>
      </c>
      <c r="L22" s="16">
        <v>2.7065775200000002</v>
      </c>
      <c r="M22" s="14" t="s">
        <v>139</v>
      </c>
      <c r="N22" s="16" t="s">
        <v>139</v>
      </c>
      <c r="O22" s="14">
        <v>0</v>
      </c>
      <c r="P22" s="16">
        <v>0</v>
      </c>
      <c r="Q22" s="14">
        <v>0</v>
      </c>
      <c r="R22" s="16">
        <v>0</v>
      </c>
      <c r="S22" s="14">
        <v>0</v>
      </c>
      <c r="T22" s="16">
        <v>0</v>
      </c>
      <c r="U22" s="14">
        <v>0</v>
      </c>
      <c r="V22" s="16">
        <v>0</v>
      </c>
    </row>
    <row r="23" spans="1:22" x14ac:dyDescent="0.25">
      <c r="A23" s="11" t="s">
        <v>156</v>
      </c>
      <c r="B23" s="13">
        <v>5792</v>
      </c>
      <c r="C23" s="14">
        <f>(4803/B23*100)</f>
        <v>82.924723756906076</v>
      </c>
      <c r="D23" s="15">
        <v>989</v>
      </c>
      <c r="E23" s="14">
        <v>24.49729224</v>
      </c>
      <c r="F23" s="16">
        <v>2.6024124199999998</v>
      </c>
      <c r="G23" s="14">
        <v>12.257580280000001</v>
      </c>
      <c r="H23" s="16">
        <v>1.6430005299999999</v>
      </c>
      <c r="I23" s="14">
        <v>0.87273045999999999</v>
      </c>
      <c r="J23" s="16">
        <v>0.2305845</v>
      </c>
      <c r="K23" s="14">
        <v>62.372397020000001</v>
      </c>
      <c r="L23" s="16">
        <v>2.59022365</v>
      </c>
      <c r="M23" s="14" t="s">
        <v>139</v>
      </c>
      <c r="N23" s="16" t="s">
        <v>139</v>
      </c>
      <c r="O23" s="14">
        <v>0</v>
      </c>
      <c r="P23" s="16">
        <v>0</v>
      </c>
      <c r="Q23" s="14">
        <v>0</v>
      </c>
      <c r="R23" s="16">
        <v>0</v>
      </c>
      <c r="S23" s="14">
        <v>0</v>
      </c>
      <c r="T23" s="16">
        <v>0</v>
      </c>
      <c r="U23" s="14">
        <v>0</v>
      </c>
      <c r="V23" s="16">
        <v>0</v>
      </c>
    </row>
    <row r="24" spans="1:22" x14ac:dyDescent="0.25">
      <c r="A24" s="11" t="s">
        <v>157</v>
      </c>
      <c r="B24" s="13">
        <v>3309</v>
      </c>
      <c r="C24" s="14">
        <f>(2724/B24*100)</f>
        <v>82.320942883046229</v>
      </c>
      <c r="D24" s="15">
        <v>585</v>
      </c>
      <c r="E24" s="14">
        <v>5.6183734899999997</v>
      </c>
      <c r="F24" s="16">
        <v>0.81793846000000003</v>
      </c>
      <c r="G24" s="14">
        <v>8.9435419899999999</v>
      </c>
      <c r="H24" s="16">
        <v>1.1711887000000001</v>
      </c>
      <c r="I24" s="14">
        <v>2.71463754</v>
      </c>
      <c r="J24" s="16">
        <v>0.72647174000000003</v>
      </c>
      <c r="K24" s="14">
        <v>82.723446980000006</v>
      </c>
      <c r="L24" s="16">
        <v>1.65402714</v>
      </c>
      <c r="M24" s="14" t="s">
        <v>139</v>
      </c>
      <c r="N24" s="16" t="s">
        <v>139</v>
      </c>
      <c r="O24" s="14">
        <v>0</v>
      </c>
      <c r="P24" s="16">
        <v>0</v>
      </c>
      <c r="Q24" s="14">
        <v>0</v>
      </c>
      <c r="R24" s="16">
        <v>0</v>
      </c>
      <c r="S24" s="14">
        <v>0</v>
      </c>
      <c r="T24" s="16">
        <v>0</v>
      </c>
      <c r="U24" s="14">
        <v>0</v>
      </c>
      <c r="V24" s="16">
        <v>0</v>
      </c>
    </row>
    <row r="25" spans="1:22" x14ac:dyDescent="0.25">
      <c r="A25" s="11" t="s">
        <v>158</v>
      </c>
      <c r="B25" s="13">
        <v>2669</v>
      </c>
      <c r="C25" s="14">
        <f>(2206/B25*100)</f>
        <v>82.652678905957288</v>
      </c>
      <c r="D25" s="15">
        <v>463</v>
      </c>
      <c r="E25" s="14">
        <v>4.6135164900000003</v>
      </c>
      <c r="F25" s="16">
        <v>1.0260188699999999</v>
      </c>
      <c r="G25" s="14">
        <v>12.517822900000001</v>
      </c>
      <c r="H25" s="16">
        <v>1.61107658</v>
      </c>
      <c r="I25" s="14">
        <v>1.2596951999999999</v>
      </c>
      <c r="J25" s="16">
        <v>0.49895139999999999</v>
      </c>
      <c r="K25" s="14">
        <v>81.608965400000002</v>
      </c>
      <c r="L25" s="16">
        <v>1.8787737</v>
      </c>
      <c r="M25" s="14" t="s">
        <v>139</v>
      </c>
      <c r="N25" s="16" t="s">
        <v>139</v>
      </c>
      <c r="O25" s="14">
        <v>0</v>
      </c>
      <c r="P25" s="16">
        <v>0</v>
      </c>
      <c r="Q25" s="14">
        <v>0</v>
      </c>
      <c r="R25" s="16">
        <v>0</v>
      </c>
      <c r="S25" s="14">
        <v>0</v>
      </c>
      <c r="T25" s="16">
        <v>0</v>
      </c>
      <c r="U25" s="14">
        <v>0</v>
      </c>
      <c r="V25" s="16">
        <v>0</v>
      </c>
    </row>
    <row r="26" spans="1:22" x14ac:dyDescent="0.25">
      <c r="A26" s="11" t="s">
        <v>159</v>
      </c>
      <c r="B26" s="13">
        <v>2419</v>
      </c>
      <c r="C26" s="14">
        <f>(1994/B26*100)</f>
        <v>82.430756510954936</v>
      </c>
      <c r="D26" s="15">
        <v>425</v>
      </c>
      <c r="E26" s="14">
        <v>12.590317689999999</v>
      </c>
      <c r="F26" s="16">
        <v>2.0231484800000001</v>
      </c>
      <c r="G26" s="14">
        <v>11.767411729999999</v>
      </c>
      <c r="H26" s="16">
        <v>1.73448303</v>
      </c>
      <c r="I26" s="14">
        <v>1.19875866</v>
      </c>
      <c r="J26" s="16">
        <v>0.49438848000000002</v>
      </c>
      <c r="K26" s="14">
        <v>74.443511920000006</v>
      </c>
      <c r="L26" s="16">
        <v>2.42392575</v>
      </c>
      <c r="M26" s="14" t="s">
        <v>139</v>
      </c>
      <c r="N26" s="16" t="s">
        <v>139</v>
      </c>
      <c r="O26" s="14">
        <v>0</v>
      </c>
      <c r="P26" s="16">
        <v>0</v>
      </c>
      <c r="Q26" s="14">
        <v>0</v>
      </c>
      <c r="R26" s="16">
        <v>0</v>
      </c>
      <c r="S26" s="14">
        <v>0</v>
      </c>
      <c r="T26" s="16">
        <v>0</v>
      </c>
      <c r="U26" s="14">
        <v>0</v>
      </c>
      <c r="V26" s="16">
        <v>0</v>
      </c>
    </row>
    <row r="27" spans="1:22" x14ac:dyDescent="0.25">
      <c r="A27" s="11" t="s">
        <v>160</v>
      </c>
      <c r="B27" s="13">
        <v>2683</v>
      </c>
      <c r="C27" s="14">
        <f>(2228/B27*100)</f>
        <v>83.041371598956388</v>
      </c>
      <c r="D27" s="15">
        <v>455</v>
      </c>
      <c r="E27" s="14">
        <v>13.896298</v>
      </c>
      <c r="F27" s="16">
        <v>1.7397851499999999</v>
      </c>
      <c r="G27" s="14">
        <v>9.0563571899999999</v>
      </c>
      <c r="H27" s="16">
        <v>1.3001864299999999</v>
      </c>
      <c r="I27" s="14">
        <v>1.75664515</v>
      </c>
      <c r="J27" s="16">
        <v>0.59953771</v>
      </c>
      <c r="K27" s="14">
        <v>75.290699669999995</v>
      </c>
      <c r="L27" s="16">
        <v>2.1915873800000001</v>
      </c>
      <c r="M27" s="14" t="s">
        <v>139</v>
      </c>
      <c r="N27" s="16" t="s">
        <v>139</v>
      </c>
      <c r="O27" s="14">
        <v>0</v>
      </c>
      <c r="P27" s="16">
        <v>0</v>
      </c>
      <c r="Q27" s="14">
        <v>0</v>
      </c>
      <c r="R27" s="16">
        <v>0</v>
      </c>
      <c r="S27" s="14">
        <v>0</v>
      </c>
      <c r="T27" s="16">
        <v>0</v>
      </c>
      <c r="U27" s="14">
        <v>0</v>
      </c>
      <c r="V27" s="16">
        <v>0</v>
      </c>
    </row>
    <row r="28" spans="1:22" x14ac:dyDescent="0.25">
      <c r="A28" s="11" t="s">
        <v>161</v>
      </c>
      <c r="B28" s="13">
        <v>3803</v>
      </c>
      <c r="C28" s="14">
        <f>(3209/B28*100)</f>
        <v>84.380752037864852</v>
      </c>
      <c r="D28" s="15">
        <v>594</v>
      </c>
      <c r="E28" s="14">
        <v>29.390664900000001</v>
      </c>
      <c r="F28" s="16">
        <v>1.85995438</v>
      </c>
      <c r="G28" s="14">
        <v>18.730765210000001</v>
      </c>
      <c r="H28" s="16">
        <v>1.8748344699999999</v>
      </c>
      <c r="I28" s="14">
        <v>0.98477345999999999</v>
      </c>
      <c r="J28" s="16">
        <v>0.40820498999999999</v>
      </c>
      <c r="K28" s="14">
        <v>50.893796420000001</v>
      </c>
      <c r="L28" s="16">
        <v>2.4303924299999999</v>
      </c>
      <c r="M28" s="14" t="s">
        <v>139</v>
      </c>
      <c r="N28" s="16" t="s">
        <v>139</v>
      </c>
      <c r="O28" s="14">
        <v>0</v>
      </c>
      <c r="P28" s="16">
        <v>0</v>
      </c>
      <c r="Q28" s="14">
        <v>0</v>
      </c>
      <c r="R28" s="16">
        <v>0</v>
      </c>
      <c r="S28" s="14">
        <v>0</v>
      </c>
      <c r="T28" s="16">
        <v>0</v>
      </c>
      <c r="U28" s="14">
        <v>0</v>
      </c>
      <c r="V28" s="16">
        <v>0</v>
      </c>
    </row>
    <row r="29" spans="1:22" x14ac:dyDescent="0.25">
      <c r="A29" s="11" t="s">
        <v>162</v>
      </c>
      <c r="B29" s="13">
        <v>2700</v>
      </c>
      <c r="C29" s="14">
        <f>(2265/B29*100)</f>
        <v>83.888888888888886</v>
      </c>
      <c r="D29" s="15">
        <v>435</v>
      </c>
      <c r="E29" s="14">
        <v>17.245161469999999</v>
      </c>
      <c r="F29" s="16">
        <v>1.78702611</v>
      </c>
      <c r="G29" s="14">
        <v>7.9217947200000003</v>
      </c>
      <c r="H29" s="16">
        <v>1.2825773300000001</v>
      </c>
      <c r="I29" s="14">
        <v>1.0005657999999999</v>
      </c>
      <c r="J29" s="16">
        <v>0.49854242999999998</v>
      </c>
      <c r="K29" s="14">
        <v>73.832478010000003</v>
      </c>
      <c r="L29" s="16">
        <v>2.0737125999999999</v>
      </c>
      <c r="M29" s="14" t="s">
        <v>139</v>
      </c>
      <c r="N29" s="16" t="s">
        <v>139</v>
      </c>
      <c r="O29" s="14">
        <v>0</v>
      </c>
      <c r="P29" s="16">
        <v>0</v>
      </c>
      <c r="Q29" s="14">
        <v>0</v>
      </c>
      <c r="R29" s="16">
        <v>0</v>
      </c>
      <c r="S29" s="14">
        <v>0</v>
      </c>
      <c r="T29" s="16">
        <v>0</v>
      </c>
      <c r="U29" s="14">
        <v>0</v>
      </c>
      <c r="V29" s="16">
        <v>0</v>
      </c>
    </row>
    <row r="30" spans="1:22" x14ac:dyDescent="0.25">
      <c r="A30" s="11" t="s">
        <v>163</v>
      </c>
      <c r="B30" s="13">
        <v>2257</v>
      </c>
      <c r="C30" s="14">
        <f>(1911/B30*100)</f>
        <v>84.669915817456797</v>
      </c>
      <c r="D30" s="15">
        <v>346</v>
      </c>
      <c r="E30" s="14">
        <v>10.85333584</v>
      </c>
      <c r="F30" s="16">
        <v>1.67320819</v>
      </c>
      <c r="G30" s="14">
        <v>12.3523829</v>
      </c>
      <c r="H30" s="16">
        <v>2.2338798</v>
      </c>
      <c r="I30" s="14">
        <v>1.6385227200000001</v>
      </c>
      <c r="J30" s="16">
        <v>0.71393390999999995</v>
      </c>
      <c r="K30" s="14">
        <v>75.155758539999994</v>
      </c>
      <c r="L30" s="16">
        <v>2.6880065100000001</v>
      </c>
      <c r="M30" s="14" t="s">
        <v>139</v>
      </c>
      <c r="N30" s="16" t="s">
        <v>139</v>
      </c>
      <c r="O30" s="14">
        <v>0</v>
      </c>
      <c r="P30" s="16">
        <v>0</v>
      </c>
      <c r="Q30" s="14">
        <v>0</v>
      </c>
      <c r="R30" s="16">
        <v>0</v>
      </c>
      <c r="S30" s="14">
        <v>0</v>
      </c>
      <c r="T30" s="16">
        <v>0</v>
      </c>
      <c r="U30" s="14">
        <v>0</v>
      </c>
      <c r="V30" s="16">
        <v>0</v>
      </c>
    </row>
    <row r="31" spans="1:22" x14ac:dyDescent="0.25">
      <c r="A31" s="11" t="s">
        <v>164</v>
      </c>
      <c r="B31" s="13">
        <v>2706</v>
      </c>
      <c r="C31" s="14">
        <f>(2247/B31*100)</f>
        <v>83.037694013303764</v>
      </c>
      <c r="D31" s="15">
        <v>459</v>
      </c>
      <c r="E31" s="14">
        <v>19.501070890000001</v>
      </c>
      <c r="F31" s="16">
        <v>1.8607924199999999</v>
      </c>
      <c r="G31" s="14">
        <v>12.411187460000001</v>
      </c>
      <c r="H31" s="16">
        <v>1.9061318300000001</v>
      </c>
      <c r="I31" s="14">
        <v>0.45964171999999998</v>
      </c>
      <c r="J31" s="16">
        <v>0.32542281000000001</v>
      </c>
      <c r="K31" s="14">
        <v>67.628099919999997</v>
      </c>
      <c r="L31" s="16">
        <v>2.1957995499999998</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3651</v>
      </c>
      <c r="C33" s="14">
        <f>(3051/B33*100)</f>
        <v>83.566146261298286</v>
      </c>
      <c r="D33" s="15">
        <v>600</v>
      </c>
      <c r="E33" s="14">
        <v>14.24298467</v>
      </c>
      <c r="F33" s="16">
        <v>1.57854809</v>
      </c>
      <c r="G33" s="14">
        <v>10.227730149999999</v>
      </c>
      <c r="H33" s="16">
        <v>1.34746224</v>
      </c>
      <c r="I33" s="14">
        <v>0.42274630000000002</v>
      </c>
      <c r="J33" s="16">
        <v>0.32549436999999998</v>
      </c>
      <c r="K33" s="14">
        <v>75.106538880000002</v>
      </c>
      <c r="L33" s="16">
        <v>1.9666667799999999</v>
      </c>
      <c r="M33" s="14" t="s">
        <v>139</v>
      </c>
      <c r="N33" s="16" t="s">
        <v>139</v>
      </c>
      <c r="O33" s="14">
        <v>0</v>
      </c>
      <c r="P33" s="16">
        <v>0</v>
      </c>
      <c r="Q33" s="14">
        <v>0</v>
      </c>
      <c r="R33" s="16">
        <v>0</v>
      </c>
      <c r="S33" s="14">
        <v>0</v>
      </c>
      <c r="T33" s="16">
        <v>0</v>
      </c>
      <c r="U33" s="14">
        <v>0</v>
      </c>
      <c r="V33" s="16">
        <v>0</v>
      </c>
    </row>
    <row r="34" spans="1:22" x14ac:dyDescent="0.25">
      <c r="A34" s="11" t="s">
        <v>167</v>
      </c>
      <c r="B34" s="13">
        <v>3035</v>
      </c>
      <c r="C34" s="14">
        <f>(2544/B34*100)</f>
        <v>83.82207578253707</v>
      </c>
      <c r="D34" s="15">
        <v>491</v>
      </c>
      <c r="E34" s="14">
        <v>20.687770969999999</v>
      </c>
      <c r="F34" s="16">
        <v>1.9886681799999999</v>
      </c>
      <c r="G34" s="14">
        <v>12.512633040000001</v>
      </c>
      <c r="H34" s="16">
        <v>1.31795218</v>
      </c>
      <c r="I34" s="14">
        <v>1.99243989</v>
      </c>
      <c r="J34" s="16">
        <v>0.65815555000000003</v>
      </c>
      <c r="K34" s="14">
        <v>64.807156090000007</v>
      </c>
      <c r="L34" s="16">
        <v>2.5522608600000001</v>
      </c>
      <c r="M34" s="14" t="s">
        <v>139</v>
      </c>
      <c r="N34" s="16" t="s">
        <v>139</v>
      </c>
      <c r="O34" s="14">
        <v>0</v>
      </c>
      <c r="P34" s="16">
        <v>0</v>
      </c>
      <c r="Q34" s="14">
        <v>0</v>
      </c>
      <c r="R34" s="16">
        <v>0</v>
      </c>
      <c r="S34" s="14">
        <v>0</v>
      </c>
      <c r="T34" s="16">
        <v>0</v>
      </c>
      <c r="U34" s="14">
        <v>0</v>
      </c>
      <c r="V34" s="16">
        <v>0</v>
      </c>
    </row>
    <row r="35" spans="1:22" x14ac:dyDescent="0.25">
      <c r="A35" s="11" t="s">
        <v>168</v>
      </c>
      <c r="B35" s="13">
        <v>2901</v>
      </c>
      <c r="C35" s="14">
        <f>(2422/B35*100)</f>
        <v>83.488452257842127</v>
      </c>
      <c r="D35" s="15">
        <v>479</v>
      </c>
      <c r="E35" s="14">
        <v>12.38364398</v>
      </c>
      <c r="F35" s="16">
        <v>1.9292658499999999</v>
      </c>
      <c r="G35" s="14">
        <v>9.4110438300000006</v>
      </c>
      <c r="H35" s="16">
        <v>1.6321496200000001</v>
      </c>
      <c r="I35" s="14">
        <v>2.2196659400000001</v>
      </c>
      <c r="J35" s="16">
        <v>0.76056204000000005</v>
      </c>
      <c r="K35" s="14">
        <v>75.985646259999996</v>
      </c>
      <c r="L35" s="16">
        <v>2.8001592199999998</v>
      </c>
      <c r="M35" s="14" t="s">
        <v>139</v>
      </c>
      <c r="N35" s="16" t="s">
        <v>139</v>
      </c>
      <c r="O35" s="14">
        <v>0</v>
      </c>
      <c r="P35" s="16">
        <v>0</v>
      </c>
      <c r="Q35" s="14">
        <v>0</v>
      </c>
      <c r="R35" s="16">
        <v>0</v>
      </c>
      <c r="S35" s="14">
        <v>0</v>
      </c>
      <c r="T35" s="16">
        <v>0</v>
      </c>
      <c r="U35" s="14">
        <v>0</v>
      </c>
      <c r="V35" s="16">
        <v>0</v>
      </c>
    </row>
    <row r="36" spans="1:22" x14ac:dyDescent="0.25">
      <c r="A36" s="11" t="s">
        <v>169</v>
      </c>
      <c r="B36" s="13">
        <v>3404</v>
      </c>
      <c r="C36" s="14">
        <f>(2843/B36*100)</f>
        <v>83.519388954171561</v>
      </c>
      <c r="D36" s="15">
        <v>561</v>
      </c>
      <c r="E36" s="14">
        <v>18.098270970000002</v>
      </c>
      <c r="F36" s="16">
        <v>1.9036229200000001</v>
      </c>
      <c r="G36" s="14">
        <v>10.297968190000001</v>
      </c>
      <c r="H36" s="16">
        <v>1.4637815599999999</v>
      </c>
      <c r="I36" s="14">
        <v>0.16381857999999999</v>
      </c>
      <c r="J36" s="16">
        <v>0.1576275</v>
      </c>
      <c r="K36" s="14">
        <v>71.439942259999995</v>
      </c>
      <c r="L36" s="16">
        <v>2.1060340599999998</v>
      </c>
      <c r="M36" s="14" t="s">
        <v>139</v>
      </c>
      <c r="N36" s="16" t="s">
        <v>139</v>
      </c>
      <c r="O36" s="14">
        <v>0</v>
      </c>
      <c r="P36" s="16">
        <v>0</v>
      </c>
      <c r="Q36" s="14">
        <v>0</v>
      </c>
      <c r="R36" s="16">
        <v>0</v>
      </c>
      <c r="S36" s="14">
        <v>0</v>
      </c>
      <c r="T36" s="16">
        <v>0</v>
      </c>
      <c r="U36" s="14">
        <v>0</v>
      </c>
      <c r="V36" s="16">
        <v>0</v>
      </c>
    </row>
    <row r="37" spans="1:22" x14ac:dyDescent="0.25">
      <c r="A37" s="11" t="s">
        <v>170</v>
      </c>
      <c r="B37" s="13">
        <v>2731</v>
      </c>
      <c r="C37" s="14">
        <f>(2280/B37*100)</f>
        <v>83.485902599780303</v>
      </c>
      <c r="D37" s="15">
        <v>451</v>
      </c>
      <c r="E37" s="14">
        <v>13.868424539999999</v>
      </c>
      <c r="F37" s="16">
        <v>1.3905585899999999</v>
      </c>
      <c r="G37" s="14">
        <v>8.2397678699999997</v>
      </c>
      <c r="H37" s="16">
        <v>1.2070091599999999</v>
      </c>
      <c r="I37" s="14">
        <v>1.0265557700000001</v>
      </c>
      <c r="J37" s="16">
        <v>0.53327201000000002</v>
      </c>
      <c r="K37" s="14">
        <v>76.865251819999997</v>
      </c>
      <c r="L37" s="16">
        <v>1.8017964399999999</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2938</v>
      </c>
      <c r="C39" s="14">
        <f>(2414/B39*100)</f>
        <v>82.164737916950301</v>
      </c>
      <c r="D39" s="15">
        <v>524</v>
      </c>
      <c r="E39" s="14">
        <v>32.154313549999998</v>
      </c>
      <c r="F39" s="16">
        <v>2.17824594</v>
      </c>
      <c r="G39" s="14">
        <v>18.194227940000001</v>
      </c>
      <c r="H39" s="16">
        <v>1.8457786</v>
      </c>
      <c r="I39" s="14">
        <v>3.2289449399999999</v>
      </c>
      <c r="J39" s="16">
        <v>0.77150717999999996</v>
      </c>
      <c r="K39" s="14">
        <v>46.42251357</v>
      </c>
      <c r="L39" s="16">
        <v>2.5602453199999999</v>
      </c>
      <c r="M39" s="14" t="s">
        <v>139</v>
      </c>
      <c r="N39" s="16" t="s">
        <v>139</v>
      </c>
      <c r="O39" s="14">
        <v>0</v>
      </c>
      <c r="P39" s="16">
        <v>0</v>
      </c>
      <c r="Q39" s="14">
        <v>0</v>
      </c>
      <c r="R39" s="16">
        <v>0</v>
      </c>
      <c r="S39" s="14">
        <v>0</v>
      </c>
      <c r="T39" s="16">
        <v>0</v>
      </c>
      <c r="U39" s="14">
        <v>0</v>
      </c>
      <c r="V39" s="16">
        <v>0</v>
      </c>
    </row>
    <row r="40" spans="1:22" x14ac:dyDescent="0.25">
      <c r="A40" s="11" t="s">
        <v>173</v>
      </c>
      <c r="B40" s="13">
        <v>6922</v>
      </c>
      <c r="C40" s="14">
        <f>(5740/B40*100)</f>
        <v>82.924010401618034</v>
      </c>
      <c r="D40" s="15">
        <v>1182</v>
      </c>
      <c r="E40" s="14">
        <v>11.126806950000001</v>
      </c>
      <c r="F40" s="16">
        <v>1.2904320199999999</v>
      </c>
      <c r="G40" s="14">
        <v>11.521837319999999</v>
      </c>
      <c r="H40" s="16">
        <v>1.46248676</v>
      </c>
      <c r="I40" s="14">
        <v>0.87856670999999997</v>
      </c>
      <c r="J40" s="16">
        <v>0.43458416999999999</v>
      </c>
      <c r="K40" s="14">
        <v>76.472789019999993</v>
      </c>
      <c r="L40" s="16">
        <v>1.8426276399999999</v>
      </c>
      <c r="M40" s="14" t="s">
        <v>139</v>
      </c>
      <c r="N40" s="16" t="s">
        <v>139</v>
      </c>
      <c r="O40" s="14">
        <v>0</v>
      </c>
      <c r="P40" s="16">
        <v>0</v>
      </c>
      <c r="Q40" s="14">
        <v>0</v>
      </c>
      <c r="R40" s="16">
        <v>0</v>
      </c>
      <c r="S40" s="14">
        <v>0</v>
      </c>
      <c r="T40" s="16">
        <v>0</v>
      </c>
      <c r="U40" s="14">
        <v>0</v>
      </c>
      <c r="V40" s="16">
        <v>0</v>
      </c>
    </row>
    <row r="41" spans="1:22" x14ac:dyDescent="0.25">
      <c r="A41" s="11" t="s">
        <v>174</v>
      </c>
      <c r="B41" s="13">
        <v>2854</v>
      </c>
      <c r="C41" s="14">
        <f>(2356/B41*100)</f>
        <v>82.550805886475118</v>
      </c>
      <c r="D41" s="15">
        <v>498</v>
      </c>
      <c r="E41" s="14">
        <v>15.94397405</v>
      </c>
      <c r="F41" s="16">
        <v>1.75854143</v>
      </c>
      <c r="G41" s="14">
        <v>15.45388372</v>
      </c>
      <c r="H41" s="16">
        <v>1.8680278299999999</v>
      </c>
      <c r="I41" s="14">
        <v>1.97690901</v>
      </c>
      <c r="J41" s="16">
        <v>0.67674067000000004</v>
      </c>
      <c r="K41" s="14">
        <v>66.625233230000006</v>
      </c>
      <c r="L41" s="16">
        <v>2.3071070699999998</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3612.53125</v>
      </c>
      <c r="C42" s="14">
        <f>IF(COUNT(C7:C41) &gt; 0, AVERAGE(C7:C41), "—")</f>
        <v>83.213859190561493</v>
      </c>
      <c r="D42" s="15">
        <f>IF(COUNT(D7:D41) &gt; 0, AVERAGE(D7:D41), "—")</f>
        <v>606.40625</v>
      </c>
      <c r="E42" s="14">
        <f>IF(COUNT(E7:E41) &gt; 0, AVERAGE(E7:E41), "—")</f>
        <v>16.320834054062495</v>
      </c>
      <c r="F42" s="16">
        <f>IF(COUNT(F7:F41) &gt; 0, SQRT(SUMSQ(F7:F41)/(COUNT(F7:F41)*COUNT(F7:F41)) ), "—")</f>
        <v>0.32089732232699819</v>
      </c>
      <c r="G42" s="14">
        <f>IF(COUNT(G7:G41) &gt; 0, AVERAGE(G7:G41), "—")</f>
        <v>11.338095423125001</v>
      </c>
      <c r="H42" s="16">
        <f>IF(COUNT(H7:H41) &gt; 0, SQRT(SUMSQ(H7:H41)/(COUNT(H7:H41)*COUNT(H7:H41)) ), "—")</f>
        <v>0.26738805977145969</v>
      </c>
      <c r="I42" s="14">
        <f>IF(COUNT(I7:I41) &gt; 0, AVERAGE(I7:I41), "—")</f>
        <v>1.3028805593749999</v>
      </c>
      <c r="J42" s="16">
        <f>IF(COUNT(J7:J41) &gt; 0, SQRT(SUMSQ(J7:J41)/(COUNT(J7:J41)*COUNT(J7:J41)) ), "—")</f>
        <v>9.3375690936415456E-2</v>
      </c>
      <c r="K42" s="14">
        <f>IF(COUNT(K7:K41) &gt; 0, AVERAGE(K7:K41), "—")</f>
        <v>71.038189963437517</v>
      </c>
      <c r="L42" s="16">
        <f>IF(COUNT(L7:L41) &gt; 0, SQRT(SUMSQ(L7:L41)/(COUNT(L7:L41)*COUNT(L7:L41)) ), "—")</f>
        <v>0.39164390795912185</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12073</v>
      </c>
      <c r="C46" s="14">
        <f>(10528/B46*100)</f>
        <v>87.2028493332229</v>
      </c>
      <c r="D46" s="15">
        <v>1545</v>
      </c>
      <c r="E46" s="14">
        <v>34.619973459999997</v>
      </c>
      <c r="F46" s="16">
        <v>1.8693976400000001</v>
      </c>
      <c r="G46" s="14">
        <v>15.87629005</v>
      </c>
      <c r="H46" s="16">
        <v>1.1627823500000001</v>
      </c>
      <c r="I46" s="14">
        <v>1.1497024</v>
      </c>
      <c r="J46" s="16">
        <v>0.35118393999999997</v>
      </c>
      <c r="K46" s="14">
        <v>48.354034089999999</v>
      </c>
      <c r="L46" s="16">
        <v>2.0279580300000002</v>
      </c>
      <c r="M46" s="14" t="s">
        <v>139</v>
      </c>
      <c r="N46" s="16" t="s">
        <v>139</v>
      </c>
      <c r="O46" s="14">
        <v>0</v>
      </c>
      <c r="P46" s="16">
        <v>0</v>
      </c>
      <c r="Q46" s="14">
        <v>0</v>
      </c>
      <c r="R46" s="16">
        <v>0</v>
      </c>
      <c r="S46" s="14">
        <v>0</v>
      </c>
      <c r="T46" s="16">
        <v>0</v>
      </c>
      <c r="U46" s="14">
        <v>0</v>
      </c>
      <c r="V46" s="16">
        <v>0</v>
      </c>
    </row>
    <row r="47" spans="1:22" x14ac:dyDescent="0.25">
      <c r="A47" s="11" t="s">
        <v>180</v>
      </c>
      <c r="B47" s="13">
        <v>2823</v>
      </c>
      <c r="C47" s="14">
        <f>(2353/B47*100)</f>
        <v>83.351044987601838</v>
      </c>
      <c r="D47" s="15">
        <v>470</v>
      </c>
      <c r="E47" s="14">
        <v>31.113211589999999</v>
      </c>
      <c r="F47" s="16">
        <v>2.2351139799999999</v>
      </c>
      <c r="G47" s="14">
        <v>11.65601507</v>
      </c>
      <c r="H47" s="16">
        <v>1.37500657</v>
      </c>
      <c r="I47" s="14">
        <v>1.6959016499999999</v>
      </c>
      <c r="J47" s="16">
        <v>0.60818090999999996</v>
      </c>
      <c r="K47" s="14">
        <v>55.534871690000003</v>
      </c>
      <c r="L47" s="16">
        <v>2.3207891200000001</v>
      </c>
      <c r="M47" s="14" t="s">
        <v>139</v>
      </c>
      <c r="N47" s="16" t="s">
        <v>139</v>
      </c>
      <c r="O47" s="14">
        <v>0</v>
      </c>
      <c r="P47" s="16">
        <v>0</v>
      </c>
      <c r="Q47" s="14">
        <v>0</v>
      </c>
      <c r="R47" s="16">
        <v>0</v>
      </c>
      <c r="S47" s="14">
        <v>0</v>
      </c>
      <c r="T47" s="16">
        <v>0</v>
      </c>
      <c r="U47" s="14">
        <v>0</v>
      </c>
      <c r="V47" s="16">
        <v>0</v>
      </c>
    </row>
    <row r="48" spans="1:22" x14ac:dyDescent="0.25">
      <c r="A48" s="11" t="s">
        <v>181</v>
      </c>
      <c r="B48" s="13">
        <v>4682</v>
      </c>
      <c r="C48" s="14">
        <f>(3888/B48*100)</f>
        <v>83.041435284066637</v>
      </c>
      <c r="D48" s="15">
        <v>794</v>
      </c>
      <c r="E48" s="14">
        <v>21.319256450000001</v>
      </c>
      <c r="F48" s="16">
        <v>2.0004080700000002</v>
      </c>
      <c r="G48" s="14">
        <v>8.3111806799999997</v>
      </c>
      <c r="H48" s="16">
        <v>1.2846644700000001</v>
      </c>
      <c r="I48" s="14">
        <v>0.96246308000000003</v>
      </c>
      <c r="J48" s="16">
        <v>0.38621069000000002</v>
      </c>
      <c r="K48" s="14">
        <v>69.407099799999997</v>
      </c>
      <c r="L48" s="16">
        <v>2.3344801899999998</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6158</v>
      </c>
      <c r="C50" s="14">
        <f>(5168/B50*100)</f>
        <v>83.923351737577136</v>
      </c>
      <c r="D50" s="15">
        <v>990</v>
      </c>
      <c r="E50" s="14">
        <v>37.380504070000001</v>
      </c>
      <c r="F50" s="16">
        <v>2.13900639</v>
      </c>
      <c r="G50" s="14">
        <v>19.42502747</v>
      </c>
      <c r="H50" s="16">
        <v>1.6398007299999999</v>
      </c>
      <c r="I50" s="14">
        <v>1.62025196</v>
      </c>
      <c r="J50" s="16">
        <v>0.56411871999999996</v>
      </c>
      <c r="K50" s="14">
        <v>41.574216499999999</v>
      </c>
      <c r="L50" s="16">
        <v>2.0220527399999999</v>
      </c>
      <c r="M50" s="14" t="s">
        <v>139</v>
      </c>
      <c r="N50" s="16" t="s">
        <v>139</v>
      </c>
      <c r="O50" s="14">
        <v>0</v>
      </c>
      <c r="P50" s="16">
        <v>0</v>
      </c>
      <c r="Q50" s="14">
        <v>0</v>
      </c>
      <c r="R50" s="16">
        <v>0</v>
      </c>
      <c r="S50" s="14">
        <v>0</v>
      </c>
      <c r="T50" s="16">
        <v>0</v>
      </c>
      <c r="U50" s="14">
        <v>0</v>
      </c>
      <c r="V50" s="16">
        <v>0</v>
      </c>
    </row>
    <row r="51" spans="1:22" x14ac:dyDescent="0.25">
      <c r="A51" s="11" t="s">
        <v>184</v>
      </c>
      <c r="B51" s="13">
        <v>3494</v>
      </c>
      <c r="C51" s="14">
        <f>(3000/B51*100)</f>
        <v>85.861476817401268</v>
      </c>
      <c r="D51" s="15">
        <v>494</v>
      </c>
      <c r="E51" s="14">
        <v>31.94845866</v>
      </c>
      <c r="F51" s="16">
        <v>2.1302749200000002</v>
      </c>
      <c r="G51" s="14">
        <v>14.19288673</v>
      </c>
      <c r="H51" s="16">
        <v>1.7515321800000001</v>
      </c>
      <c r="I51" s="14">
        <v>1.77240468</v>
      </c>
      <c r="J51" s="16">
        <v>0.61814155999999998</v>
      </c>
      <c r="K51" s="14">
        <v>52.086249930000001</v>
      </c>
      <c r="L51" s="16">
        <v>2.4655033099999999</v>
      </c>
      <c r="M51" s="14" t="s">
        <v>139</v>
      </c>
      <c r="N51" s="16" t="s">
        <v>139</v>
      </c>
      <c r="O51" s="14">
        <v>0</v>
      </c>
      <c r="P51" s="16">
        <v>0</v>
      </c>
      <c r="Q51" s="14">
        <v>0</v>
      </c>
      <c r="R51" s="16">
        <v>0</v>
      </c>
      <c r="S51" s="14">
        <v>0</v>
      </c>
      <c r="T51" s="16">
        <v>0</v>
      </c>
      <c r="U51" s="14">
        <v>0</v>
      </c>
      <c r="V51" s="16">
        <v>0</v>
      </c>
    </row>
    <row r="52" spans="1:22" x14ac:dyDescent="0.25">
      <c r="A52" s="11" t="s">
        <v>185</v>
      </c>
      <c r="B52" s="13">
        <v>3013</v>
      </c>
      <c r="C52" s="14">
        <f>(2499/B52*100)</f>
        <v>82.940590773315634</v>
      </c>
      <c r="D52" s="15">
        <v>514</v>
      </c>
      <c r="E52" s="14">
        <v>16.143863899999999</v>
      </c>
      <c r="F52" s="16">
        <v>1.6250938800000001</v>
      </c>
      <c r="G52" s="14">
        <v>14.77322637</v>
      </c>
      <c r="H52" s="16">
        <v>1.4568595200000001</v>
      </c>
      <c r="I52" s="14">
        <v>1.1329247499999999</v>
      </c>
      <c r="J52" s="16">
        <v>0.46428722</v>
      </c>
      <c r="K52" s="14">
        <v>67.949984979999996</v>
      </c>
      <c r="L52" s="16">
        <v>2.2114157799999998</v>
      </c>
      <c r="M52" s="14" t="s">
        <v>139</v>
      </c>
      <c r="N52" s="16" t="s">
        <v>139</v>
      </c>
      <c r="O52" s="14">
        <v>0</v>
      </c>
      <c r="P52" s="16">
        <v>0</v>
      </c>
      <c r="Q52" s="14">
        <v>0</v>
      </c>
      <c r="R52" s="16">
        <v>0</v>
      </c>
      <c r="S52" s="14">
        <v>0</v>
      </c>
      <c r="T52" s="16">
        <v>0</v>
      </c>
      <c r="U52" s="14">
        <v>0</v>
      </c>
      <c r="V52" s="16">
        <v>0</v>
      </c>
    </row>
    <row r="53" spans="1:22" x14ac:dyDescent="0.25">
      <c r="A53" s="11" t="s">
        <v>186</v>
      </c>
      <c r="B53" s="13">
        <v>2760</v>
      </c>
      <c r="C53" s="14">
        <f>(2316/B53*100)</f>
        <v>83.913043478260875</v>
      </c>
      <c r="D53" s="15">
        <v>444</v>
      </c>
      <c r="E53" s="14">
        <v>30.72850927</v>
      </c>
      <c r="F53" s="16">
        <v>2.4045907400000002</v>
      </c>
      <c r="G53" s="14">
        <v>12.02648372</v>
      </c>
      <c r="H53" s="16">
        <v>1.73524922</v>
      </c>
      <c r="I53" s="14">
        <v>2.0419539800000002</v>
      </c>
      <c r="J53" s="16">
        <v>0.66414921000000005</v>
      </c>
      <c r="K53" s="14">
        <v>55.20305303</v>
      </c>
      <c r="L53" s="16">
        <v>2.7520866399999999</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2675</v>
      </c>
      <c r="C56" s="14">
        <f>(2209/B56*100)</f>
        <v>82.579439252336456</v>
      </c>
      <c r="D56" s="15">
        <v>466</v>
      </c>
      <c r="E56" s="14">
        <v>8.5262183300000007</v>
      </c>
      <c r="F56" s="16">
        <v>1.27166581</v>
      </c>
      <c r="G56" s="14">
        <v>10.33443697</v>
      </c>
      <c r="H56" s="16">
        <v>1.42998157</v>
      </c>
      <c r="I56" s="14">
        <v>0.93508005999999999</v>
      </c>
      <c r="J56" s="16">
        <v>0.56902132999999999</v>
      </c>
      <c r="K56" s="14">
        <v>80.204264640000005</v>
      </c>
      <c r="L56" s="16">
        <v>2.08381222</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3201</v>
      </c>
      <c r="C61" s="14">
        <f>(2653/B61*100)</f>
        <v>82.880349890659161</v>
      </c>
      <c r="D61" s="15">
        <v>548</v>
      </c>
      <c r="E61" s="14">
        <v>17.418219799999999</v>
      </c>
      <c r="F61" s="16">
        <v>1.5445636899999999</v>
      </c>
      <c r="G61" s="14">
        <v>10.70734388</v>
      </c>
      <c r="H61" s="16">
        <v>1.21259874</v>
      </c>
      <c r="I61" s="14">
        <v>2.7984663200000002</v>
      </c>
      <c r="J61" s="16">
        <v>0.76447622999999998</v>
      </c>
      <c r="K61" s="14">
        <v>69.075969999999998</v>
      </c>
      <c r="L61" s="16">
        <v>1.87407251</v>
      </c>
      <c r="M61" s="14" t="s">
        <v>139</v>
      </c>
      <c r="N61" s="16" t="s">
        <v>139</v>
      </c>
      <c r="O61" s="14">
        <v>0</v>
      </c>
      <c r="P61" s="16">
        <v>0</v>
      </c>
      <c r="Q61" s="14">
        <v>0</v>
      </c>
      <c r="R61" s="16">
        <v>0</v>
      </c>
      <c r="S61" s="14">
        <v>0</v>
      </c>
      <c r="T61" s="16">
        <v>0</v>
      </c>
      <c r="U61" s="14">
        <v>0</v>
      </c>
      <c r="V61" s="16">
        <v>0</v>
      </c>
    </row>
    <row r="62" spans="1:22" x14ac:dyDescent="0.25">
      <c r="A62" s="11" t="s">
        <v>195</v>
      </c>
      <c r="B62" s="13">
        <v>2230</v>
      </c>
      <c r="C62" s="14">
        <f>(1860/B62*100)</f>
        <v>83.408071748878925</v>
      </c>
      <c r="D62" s="15">
        <v>370</v>
      </c>
      <c r="E62" s="14">
        <v>8.1804336299999996</v>
      </c>
      <c r="F62" s="16">
        <v>1.36491805</v>
      </c>
      <c r="G62" s="14">
        <v>8.1005276500000001</v>
      </c>
      <c r="H62" s="16">
        <v>1.5537000000000001</v>
      </c>
      <c r="I62" s="14">
        <v>1.07451048</v>
      </c>
      <c r="J62" s="16">
        <v>0.52838162</v>
      </c>
      <c r="K62" s="14">
        <v>82.64452824</v>
      </c>
      <c r="L62" s="16">
        <v>1.9873317399999999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2771</v>
      </c>
      <c r="C66" s="14">
        <f>(2300/B66*100)</f>
        <v>83.002526163839775</v>
      </c>
      <c r="D66" s="15">
        <v>471</v>
      </c>
      <c r="E66" s="14">
        <v>34.559147060000001</v>
      </c>
      <c r="F66" s="16">
        <v>2.3281786000000002</v>
      </c>
      <c r="G66" s="14">
        <v>16.18308279</v>
      </c>
      <c r="H66" s="16">
        <v>1.7818566</v>
      </c>
      <c r="I66" s="14">
        <v>1.7621787900000001</v>
      </c>
      <c r="J66" s="16">
        <v>0.61035722000000003</v>
      </c>
      <c r="K66" s="14">
        <v>47.495591359999999</v>
      </c>
      <c r="L66" s="16">
        <v>2.3274086</v>
      </c>
      <c r="M66" s="14" t="s">
        <v>139</v>
      </c>
      <c r="N66" s="16" t="s">
        <v>139</v>
      </c>
      <c r="O66" s="14">
        <v>0</v>
      </c>
      <c r="P66" s="16">
        <v>0</v>
      </c>
      <c r="Q66" s="14">
        <v>0</v>
      </c>
      <c r="R66" s="16">
        <v>0</v>
      </c>
      <c r="S66" s="14">
        <v>0</v>
      </c>
      <c r="T66" s="16">
        <v>0</v>
      </c>
      <c r="U66" s="14">
        <v>0</v>
      </c>
      <c r="V66" s="16">
        <v>0</v>
      </c>
    </row>
    <row r="67" spans="1:22" x14ac:dyDescent="0.25">
      <c r="A67" s="11" t="s">
        <v>200</v>
      </c>
      <c r="B67" s="13">
        <v>3460</v>
      </c>
      <c r="C67" s="14">
        <f>(2969/B67*100)</f>
        <v>85.809248554913296</v>
      </c>
      <c r="D67" s="15">
        <v>491</v>
      </c>
      <c r="E67" s="14">
        <v>36.485523460000003</v>
      </c>
      <c r="F67" s="16">
        <v>2.7336956899999998</v>
      </c>
      <c r="G67" s="14">
        <v>20.73045153</v>
      </c>
      <c r="H67" s="16">
        <v>1.8431976299999999</v>
      </c>
      <c r="I67" s="14">
        <v>1.5621553699999999</v>
      </c>
      <c r="J67" s="16">
        <v>0.62008726999999997</v>
      </c>
      <c r="K67" s="14">
        <v>41.221869640000001</v>
      </c>
      <c r="L67" s="16">
        <v>2.6072978400000002</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3107</v>
      </c>
      <c r="C70" s="14">
        <f>(2579/B70*100)</f>
        <v>83.006115223688454</v>
      </c>
      <c r="D70" s="15">
        <v>528</v>
      </c>
      <c r="E70" s="14">
        <v>17.720267320000001</v>
      </c>
      <c r="F70" s="16">
        <v>1.6862685799999999</v>
      </c>
      <c r="G70" s="14">
        <v>10.576143910000001</v>
      </c>
      <c r="H70" s="16">
        <v>1.43676479</v>
      </c>
      <c r="I70" s="14">
        <v>0.63194475000000006</v>
      </c>
      <c r="J70" s="16">
        <v>0.29307348</v>
      </c>
      <c r="K70" s="14">
        <v>71.071644019999994</v>
      </c>
      <c r="L70" s="16">
        <v>1.95114158</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3819</v>
      </c>
      <c r="C72" s="14">
        <f>(3156/B72*100)</f>
        <v>82.639434406912798</v>
      </c>
      <c r="D72" s="15">
        <v>663</v>
      </c>
      <c r="E72" s="14">
        <v>8.8814039900000008</v>
      </c>
      <c r="F72" s="16">
        <v>1.20008914</v>
      </c>
      <c r="G72" s="14">
        <v>10.987951750000001</v>
      </c>
      <c r="H72" s="16">
        <v>1.2444606499999999</v>
      </c>
      <c r="I72" s="14">
        <v>1.7175569900000001</v>
      </c>
      <c r="J72" s="16">
        <v>0.61770758999999997</v>
      </c>
      <c r="K72" s="14">
        <v>78.413087259999998</v>
      </c>
      <c r="L72" s="16">
        <v>1.75721968</v>
      </c>
      <c r="M72" s="14" t="s">
        <v>139</v>
      </c>
      <c r="N72" s="16" t="s">
        <v>139</v>
      </c>
      <c r="O72" s="14">
        <v>0</v>
      </c>
      <c r="P72" s="16">
        <v>0</v>
      </c>
      <c r="Q72" s="14">
        <v>0</v>
      </c>
      <c r="R72" s="16">
        <v>0</v>
      </c>
      <c r="S72" s="14">
        <v>0</v>
      </c>
      <c r="T72" s="16">
        <v>0</v>
      </c>
      <c r="U72" s="14">
        <v>0</v>
      </c>
      <c r="V72" s="16">
        <v>0</v>
      </c>
    </row>
    <row r="73" spans="1:22" x14ac:dyDescent="0.25">
      <c r="A73" s="11" t="s">
        <v>206</v>
      </c>
      <c r="B73" s="13">
        <v>4652</v>
      </c>
      <c r="C73" s="14">
        <f>(3927/B73*100)</f>
        <v>84.41530524505589</v>
      </c>
      <c r="D73" s="15">
        <v>725</v>
      </c>
      <c r="E73" s="14">
        <v>28.151748090000002</v>
      </c>
      <c r="F73" s="16">
        <v>2.1640410299999999</v>
      </c>
      <c r="G73" s="14">
        <v>27.843576129999999</v>
      </c>
      <c r="H73" s="16">
        <v>2.0962009799999999</v>
      </c>
      <c r="I73" s="14">
        <v>2.4958047699999999</v>
      </c>
      <c r="J73" s="16">
        <v>0.58118239999999999</v>
      </c>
      <c r="K73" s="14">
        <v>41.50887101</v>
      </c>
      <c r="L73" s="16">
        <v>2.4465128699999998</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2969</v>
      </c>
      <c r="C75" s="14">
        <f>(2524/B75*100)</f>
        <v>85.011788480970012</v>
      </c>
      <c r="D75" s="15">
        <v>445</v>
      </c>
      <c r="E75" s="14">
        <v>45.68397143</v>
      </c>
      <c r="F75" s="16">
        <v>2.39421068</v>
      </c>
      <c r="G75" s="14">
        <v>23.594368110000001</v>
      </c>
      <c r="H75" s="16">
        <v>2.2804423100000002</v>
      </c>
      <c r="I75" s="14">
        <v>1.4295248599999999</v>
      </c>
      <c r="J75" s="16">
        <v>0.59633022000000002</v>
      </c>
      <c r="K75" s="14">
        <v>29.292135600000002</v>
      </c>
      <c r="L75" s="16">
        <v>2.4116700899999999</v>
      </c>
      <c r="M75" s="14" t="s">
        <v>139</v>
      </c>
      <c r="N75" s="16" t="s">
        <v>139</v>
      </c>
      <c r="O75" s="14">
        <v>0</v>
      </c>
      <c r="P75" s="16">
        <v>0</v>
      </c>
      <c r="Q75" s="14">
        <v>0</v>
      </c>
      <c r="R75" s="16">
        <v>0</v>
      </c>
      <c r="S75" s="14">
        <v>0</v>
      </c>
      <c r="T75" s="16">
        <v>0</v>
      </c>
      <c r="U75" s="14">
        <v>0</v>
      </c>
      <c r="V75" s="16">
        <v>0</v>
      </c>
    </row>
    <row r="76" spans="1:22" x14ac:dyDescent="0.25">
      <c r="A76" s="11" t="s">
        <v>209</v>
      </c>
      <c r="B76" s="13">
        <v>7115</v>
      </c>
      <c r="C76" s="14">
        <f>(5913/B76*100)</f>
        <v>83.106113843991565</v>
      </c>
      <c r="D76" s="15">
        <v>1202</v>
      </c>
      <c r="E76" s="14">
        <v>24.815457339999998</v>
      </c>
      <c r="F76" s="16">
        <v>1.68838621</v>
      </c>
      <c r="G76" s="14">
        <v>16.33210484</v>
      </c>
      <c r="H76" s="16">
        <v>1.50558725</v>
      </c>
      <c r="I76" s="14">
        <v>1.43509507</v>
      </c>
      <c r="J76" s="16">
        <v>0.49712636999999998</v>
      </c>
      <c r="K76" s="14">
        <v>57.417342750000003</v>
      </c>
      <c r="L76" s="16">
        <v>1.87493237</v>
      </c>
      <c r="M76" s="14" t="s">
        <v>139</v>
      </c>
      <c r="N76" s="16" t="s">
        <v>139</v>
      </c>
      <c r="O76" s="14">
        <v>0</v>
      </c>
      <c r="P76" s="16">
        <v>0</v>
      </c>
      <c r="Q76" s="14">
        <v>0</v>
      </c>
      <c r="R76" s="16">
        <v>0</v>
      </c>
      <c r="S76" s="14">
        <v>0</v>
      </c>
      <c r="T76" s="16">
        <v>0</v>
      </c>
      <c r="U76" s="14">
        <v>0</v>
      </c>
      <c r="V76" s="16">
        <v>0</v>
      </c>
    </row>
    <row r="77" spans="1:22" x14ac:dyDescent="0.25">
      <c r="A77" s="11" t="s">
        <v>210</v>
      </c>
      <c r="B77" s="13">
        <v>3154</v>
      </c>
      <c r="C77" s="14">
        <f>(2638/B77*100)</f>
        <v>83.639822447685475</v>
      </c>
      <c r="D77" s="15">
        <v>516</v>
      </c>
      <c r="E77" s="14">
        <v>29.360306219999998</v>
      </c>
      <c r="F77" s="16">
        <v>2.1427188899999998</v>
      </c>
      <c r="G77" s="14">
        <v>13.544994770000001</v>
      </c>
      <c r="H77" s="16">
        <v>1.6471339199999999</v>
      </c>
      <c r="I77" s="14">
        <v>0.97645848000000002</v>
      </c>
      <c r="J77" s="16">
        <v>0.44425717999999997</v>
      </c>
      <c r="K77" s="14">
        <v>56.118240530000001</v>
      </c>
      <c r="L77" s="16">
        <v>2.4998850699999999</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4698</v>
      </c>
      <c r="C81" s="14">
        <f>(3899/B81*100)</f>
        <v>82.992762877820354</v>
      </c>
      <c r="D81" s="15">
        <v>799</v>
      </c>
      <c r="E81" s="14">
        <v>18.706008430000001</v>
      </c>
      <c r="F81" s="16">
        <v>1.8432055700000001</v>
      </c>
      <c r="G81" s="14">
        <v>19.83388802</v>
      </c>
      <c r="H81" s="16">
        <v>1.7834047</v>
      </c>
      <c r="I81" s="14">
        <v>2.5943768299999999</v>
      </c>
      <c r="J81" s="16">
        <v>0.61239392000000004</v>
      </c>
      <c r="K81" s="14">
        <v>58.865726719999998</v>
      </c>
      <c r="L81" s="16">
        <v>2.2422303800000001</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(5948/B7*100)</f>
        <v>83.037833310065608</v>
      </c>
      <c r="D7" s="15">
        <v>1215</v>
      </c>
      <c r="E7" s="14">
        <v>43.562771060000003</v>
      </c>
      <c r="F7" s="16">
        <v>1.5146740400000001</v>
      </c>
      <c r="G7" s="14">
        <v>56.437228939999997</v>
      </c>
      <c r="H7" s="16">
        <v>1.5146740400000001</v>
      </c>
      <c r="I7" s="14" t="s">
        <v>139</v>
      </c>
      <c r="J7" s="16" t="s">
        <v>139</v>
      </c>
      <c r="K7" s="14">
        <v>0</v>
      </c>
      <c r="L7" s="16">
        <v>0</v>
      </c>
      <c r="M7" s="14">
        <v>0</v>
      </c>
      <c r="N7" s="16">
        <v>0</v>
      </c>
      <c r="O7" s="14">
        <v>0</v>
      </c>
      <c r="P7" s="16">
        <v>0</v>
      </c>
      <c r="Q7" s="14">
        <v>0</v>
      </c>
      <c r="R7" s="16">
        <v>0</v>
      </c>
    </row>
    <row r="8" spans="1:18" x14ac:dyDescent="0.25">
      <c r="A8" s="11" t="s">
        <v>140</v>
      </c>
      <c r="B8" s="13">
        <v>3443</v>
      </c>
      <c r="C8" s="14">
        <f>(2835/B8*100)</f>
        <v>82.340981702004072</v>
      </c>
      <c r="D8" s="15">
        <v>608</v>
      </c>
      <c r="E8" s="14">
        <v>55.638449549999997</v>
      </c>
      <c r="F8" s="16">
        <v>2.2884476399999998</v>
      </c>
      <c r="G8" s="14">
        <v>44.361550450000003</v>
      </c>
      <c r="H8" s="16">
        <v>2.2884476399999998</v>
      </c>
      <c r="I8" s="14" t="s">
        <v>139</v>
      </c>
      <c r="J8" s="16" t="s">
        <v>139</v>
      </c>
      <c r="K8" s="14">
        <v>0</v>
      </c>
      <c r="L8" s="16">
        <v>0</v>
      </c>
      <c r="M8" s="14">
        <v>0</v>
      </c>
      <c r="N8" s="16">
        <v>0</v>
      </c>
      <c r="O8" s="14">
        <v>0</v>
      </c>
      <c r="P8" s="16">
        <v>0</v>
      </c>
      <c r="Q8" s="14">
        <v>0</v>
      </c>
      <c r="R8" s="16">
        <v>0</v>
      </c>
    </row>
    <row r="9" spans="1:18" x14ac:dyDescent="0.25">
      <c r="A9" s="11" t="s">
        <v>141</v>
      </c>
      <c r="B9" s="13">
        <v>4752</v>
      </c>
      <c r="C9" s="14">
        <f>(3984/B9*100)</f>
        <v>83.838383838383834</v>
      </c>
      <c r="D9" s="15">
        <v>768</v>
      </c>
      <c r="E9" s="14">
        <v>51.73116993</v>
      </c>
      <c r="F9" s="16">
        <v>2.11884556</v>
      </c>
      <c r="G9" s="14">
        <v>48.26883007</v>
      </c>
      <c r="H9" s="16">
        <v>2.11884556</v>
      </c>
      <c r="I9" s="14" t="s">
        <v>139</v>
      </c>
      <c r="J9" s="16" t="s">
        <v>139</v>
      </c>
      <c r="K9" s="14">
        <v>0</v>
      </c>
      <c r="L9" s="16">
        <v>0</v>
      </c>
      <c r="M9" s="14">
        <v>0</v>
      </c>
      <c r="N9" s="16">
        <v>0</v>
      </c>
      <c r="O9" s="14">
        <v>0</v>
      </c>
      <c r="P9" s="16">
        <v>0</v>
      </c>
      <c r="Q9" s="14">
        <v>0</v>
      </c>
      <c r="R9" s="16">
        <v>0</v>
      </c>
    </row>
    <row r="10" spans="1:18" x14ac:dyDescent="0.25">
      <c r="A10" s="11" t="s">
        <v>142</v>
      </c>
      <c r="B10" s="13">
        <v>10022</v>
      </c>
      <c r="C10" s="14">
        <f>(8323/B10*100)</f>
        <v>83.047295948912392</v>
      </c>
      <c r="D10" s="15">
        <v>1699</v>
      </c>
      <c r="E10" s="14">
        <v>41.587983180000002</v>
      </c>
      <c r="F10" s="16">
        <v>1.6032724899999999</v>
      </c>
      <c r="G10" s="14">
        <v>58.412016819999998</v>
      </c>
      <c r="H10" s="16">
        <v>1.6032724899999999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(2915/B11*100)</f>
        <v>83.285714285714292</v>
      </c>
      <c r="D11" s="15">
        <v>585</v>
      </c>
      <c r="E11" s="14">
        <v>61.407220899999999</v>
      </c>
      <c r="F11" s="16">
        <v>2.22238538</v>
      </c>
      <c r="G11" s="14">
        <v>38.592779100000001</v>
      </c>
      <c r="H11" s="16">
        <v>2.22238538</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(2874/B12*100)</f>
        <v>83.985973115137341</v>
      </c>
      <c r="D12" s="15">
        <v>548</v>
      </c>
      <c r="E12" s="14">
        <v>56.330950059999999</v>
      </c>
      <c r="F12" s="16">
        <v>2.0615912500000002</v>
      </c>
      <c r="G12" s="14">
        <v>43.669049940000001</v>
      </c>
      <c r="H12" s="16">
        <v>2.0615912500000002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(3009/B13*100)</f>
        <v>83.53692393114936</v>
      </c>
      <c r="D13" s="15">
        <v>593</v>
      </c>
      <c r="E13" s="14">
        <v>43.614585310000002</v>
      </c>
      <c r="F13" s="16">
        <v>2.41096442</v>
      </c>
      <c r="G13" s="14">
        <v>56.385414689999998</v>
      </c>
      <c r="H13" s="16">
        <v>2.41096442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(2309/B14*100)</f>
        <v>82.819225251076048</v>
      </c>
      <c r="D14" s="15">
        <v>479</v>
      </c>
      <c r="E14" s="14">
        <v>43.568960279999999</v>
      </c>
      <c r="F14" s="16">
        <v>2.2519953099999999</v>
      </c>
      <c r="G14" s="14">
        <v>56.431039720000001</v>
      </c>
      <c r="H14" s="16">
        <v>2.2519953099999999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(2367/B15*100)</f>
        <v>82.675515193852604</v>
      </c>
      <c r="D15" s="15">
        <v>496</v>
      </c>
      <c r="E15" s="14">
        <v>41.500395390000001</v>
      </c>
      <c r="F15" s="16">
        <v>2.0506927799999999</v>
      </c>
      <c r="G15" s="14">
        <v>58.499604609999999</v>
      </c>
      <c r="H15" s="16">
        <v>2.0506927799999999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(2573/B16*100)</f>
        <v>82.706525233044033</v>
      </c>
      <c r="D16" s="15">
        <v>538</v>
      </c>
      <c r="E16" s="14">
        <v>52.76564295</v>
      </c>
      <c r="F16" s="16">
        <v>2.2893001100000001</v>
      </c>
      <c r="G16" s="14">
        <v>47.23435705</v>
      </c>
      <c r="H16" s="16">
        <v>2.2893001100000001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(2627/B17*100)</f>
        <v>82.170785111041596</v>
      </c>
      <c r="D17" s="15">
        <v>570</v>
      </c>
      <c r="E17" s="14">
        <v>47.499225500000001</v>
      </c>
      <c r="F17" s="16">
        <v>2.1892075700000002</v>
      </c>
      <c r="G17" s="14">
        <v>52.500774499999999</v>
      </c>
      <c r="H17" s="16">
        <v>2.1892075700000002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(2237/B18*100)</f>
        <v>82.668144863266818</v>
      </c>
      <c r="D18" s="15">
        <v>469</v>
      </c>
      <c r="E18" s="14">
        <v>68.375112669999993</v>
      </c>
      <c r="F18" s="16">
        <v>2.3116225500000001</v>
      </c>
      <c r="G18" s="14">
        <v>31.62488733</v>
      </c>
      <c r="H18" s="16">
        <v>2.3116225500000001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(2377/B19*100)</f>
        <v>83.403508771929822</v>
      </c>
      <c r="D19" s="15">
        <v>473</v>
      </c>
      <c r="E19" s="14">
        <v>69.44122883</v>
      </c>
      <c r="F19" s="16">
        <v>2.02889966</v>
      </c>
      <c r="G19" s="14">
        <v>30.55877117</v>
      </c>
      <c r="H19" s="16">
        <v>2.02889966</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49.564681040000004</v>
      </c>
      <c r="F20" s="16">
        <v>3.3983721</v>
      </c>
      <c r="G20" s="14">
        <v>50.435318959999996</v>
      </c>
      <c r="H20" s="16">
        <v>3.3983721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(3138/B22*100)</f>
        <v>85.574038723752395</v>
      </c>
      <c r="D22" s="15">
        <v>529</v>
      </c>
      <c r="E22" s="14">
        <v>52.29689759</v>
      </c>
      <c r="F22" s="16">
        <v>2.0356211399999999</v>
      </c>
      <c r="G22" s="14">
        <v>47.70310241</v>
      </c>
      <c r="H22" s="16">
        <v>2.0356211399999999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(4803/B23*100)</f>
        <v>82.924723756906076</v>
      </c>
      <c r="D23" s="15">
        <v>989</v>
      </c>
      <c r="E23" s="14">
        <v>62.311048149999998</v>
      </c>
      <c r="F23" s="16">
        <v>1.59977959</v>
      </c>
      <c r="G23" s="14">
        <v>37.688951850000002</v>
      </c>
      <c r="H23" s="16">
        <v>1.59977959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31.780085799999998</v>
      </c>
      <c r="F24" s="16">
        <v>1.6838384799999999</v>
      </c>
      <c r="G24" s="14">
        <v>68.219914200000005</v>
      </c>
      <c r="H24" s="16">
        <v>1.6838384799999999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50.656065640000001</v>
      </c>
      <c r="F25" s="16">
        <v>2.6423024000000002</v>
      </c>
      <c r="G25" s="14">
        <v>49.343934359999999</v>
      </c>
      <c r="H25" s="16">
        <v>2.6423024000000002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(1994/B26*100)</f>
        <v>82.430756510954936</v>
      </c>
      <c r="D26" s="15">
        <v>425</v>
      </c>
      <c r="E26" s="14">
        <v>54.423952450000002</v>
      </c>
      <c r="F26" s="16">
        <v>2.8247846999999999</v>
      </c>
      <c r="G26" s="14">
        <v>45.576047549999998</v>
      </c>
      <c r="H26" s="16">
        <v>2.8247846999999999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53.949510080000003</v>
      </c>
      <c r="F27" s="16">
        <v>2.2439305900000002</v>
      </c>
      <c r="G27" s="14">
        <v>46.050489919999997</v>
      </c>
      <c r="H27" s="16">
        <v>2.2439305900000002</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(3209/B28*100)</f>
        <v>84.380752037864852</v>
      </c>
      <c r="D28" s="15">
        <v>594</v>
      </c>
      <c r="E28" s="14">
        <v>72.486430900000002</v>
      </c>
      <c r="F28" s="16">
        <v>2.11429329</v>
      </c>
      <c r="G28" s="14">
        <v>27.513569100000002</v>
      </c>
      <c r="H28" s="16">
        <v>2.11429329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(2265/B29*100)</f>
        <v>83.888888888888886</v>
      </c>
      <c r="D29" s="15">
        <v>435</v>
      </c>
      <c r="E29" s="14">
        <v>45.413180160000003</v>
      </c>
      <c r="F29" s="16">
        <v>2.3772453699999998</v>
      </c>
      <c r="G29" s="14">
        <v>54.586819839999997</v>
      </c>
      <c r="H29" s="16">
        <v>2.3772453699999998</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(1911/B30*100)</f>
        <v>84.669915817456797</v>
      </c>
      <c r="D30" s="15">
        <v>346</v>
      </c>
      <c r="E30" s="14">
        <v>42.832604859999996</v>
      </c>
      <c r="F30" s="16">
        <v>3.28453872</v>
      </c>
      <c r="G30" s="14">
        <v>57.167395140000004</v>
      </c>
      <c r="H30" s="16">
        <v>3.28453872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(2247/B31*100)</f>
        <v>83.037694013303764</v>
      </c>
      <c r="D31" s="15">
        <v>459</v>
      </c>
      <c r="E31" s="14">
        <v>45.049002170000001</v>
      </c>
      <c r="F31" s="16">
        <v>2.7393700999999999</v>
      </c>
      <c r="G31" s="14">
        <v>54.950997829999999</v>
      </c>
      <c r="H31" s="16">
        <v>2.7393700999999999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(3051/B33*100)</f>
        <v>83.566146261298286</v>
      </c>
      <c r="D33" s="15">
        <v>600</v>
      </c>
      <c r="E33" s="14">
        <v>47.361716080000001</v>
      </c>
      <c r="F33" s="16">
        <v>2.27400695</v>
      </c>
      <c r="G33" s="14">
        <v>52.638283919999999</v>
      </c>
      <c r="H33" s="16">
        <v>2.27400695</v>
      </c>
      <c r="I33" s="14" t="s">
        <v>139</v>
      </c>
      <c r="J33" s="16" t="s">
        <v>139</v>
      </c>
      <c r="K33" s="14">
        <v>0</v>
      </c>
      <c r="L33" s="16">
        <v>0</v>
      </c>
      <c r="M33" s="14">
        <v>0</v>
      </c>
      <c r="N33" s="16">
        <v>0</v>
      </c>
      <c r="O33" s="14">
        <v>0</v>
      </c>
      <c r="P33" s="16">
        <v>0</v>
      </c>
      <c r="Q33" s="14">
        <v>0</v>
      </c>
      <c r="R33" s="16">
        <v>0</v>
      </c>
    </row>
    <row r="34" spans="1:18" x14ac:dyDescent="0.25">
      <c r="A34" s="11" t="s">
        <v>167</v>
      </c>
      <c r="B34" s="13">
        <v>3035</v>
      </c>
      <c r="C34" s="14">
        <f>(2544/B34*100)</f>
        <v>83.82207578253707</v>
      </c>
      <c r="D34" s="15">
        <v>491</v>
      </c>
      <c r="E34" s="14">
        <v>66.690940600000005</v>
      </c>
      <c r="F34" s="16">
        <v>2.29854856</v>
      </c>
      <c r="G34" s="14">
        <v>33.309059400000002</v>
      </c>
      <c r="H34" s="16">
        <v>2.29854856</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58.064607379999998</v>
      </c>
      <c r="F35" s="16">
        <v>2.8965330900000001</v>
      </c>
      <c r="G35" s="14">
        <v>41.935392620000002</v>
      </c>
      <c r="H35" s="16">
        <v>2.8965330900000001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(2843/B36*100)</f>
        <v>83.519388954171561</v>
      </c>
      <c r="D36" s="15">
        <v>561</v>
      </c>
      <c r="E36" s="14">
        <v>46.057935309999998</v>
      </c>
      <c r="F36" s="16">
        <v>1.9017814900000001</v>
      </c>
      <c r="G36" s="14">
        <v>53.942064690000002</v>
      </c>
      <c r="H36" s="16">
        <v>1.9017814900000001</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(2280/B37*100)</f>
        <v>83.485902599780303</v>
      </c>
      <c r="D37" s="15">
        <v>451</v>
      </c>
      <c r="E37" s="14">
        <v>51.847739160000003</v>
      </c>
      <c r="F37" s="16">
        <v>2.47387464</v>
      </c>
      <c r="G37" s="14">
        <v>48.152260839999997</v>
      </c>
      <c r="H37" s="16">
        <v>2.47387464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74.817503439999996</v>
      </c>
      <c r="F39" s="16">
        <v>1.74539216</v>
      </c>
      <c r="G39" s="14">
        <v>25.182496560000001</v>
      </c>
      <c r="H39" s="16">
        <v>1.74539216</v>
      </c>
      <c r="I39" s="14" t="s">
        <v>139</v>
      </c>
      <c r="J39" s="16" t="s">
        <v>139</v>
      </c>
      <c r="K39" s="14">
        <v>0</v>
      </c>
      <c r="L39" s="16">
        <v>0</v>
      </c>
      <c r="M39" s="14">
        <v>0</v>
      </c>
      <c r="N39" s="16">
        <v>0</v>
      </c>
      <c r="O39" s="14">
        <v>0</v>
      </c>
      <c r="P39" s="16">
        <v>0</v>
      </c>
      <c r="Q39" s="14">
        <v>0</v>
      </c>
      <c r="R39" s="16">
        <v>0</v>
      </c>
    </row>
    <row r="40" spans="1:18" x14ac:dyDescent="0.25">
      <c r="A40" s="11" t="s">
        <v>173</v>
      </c>
      <c r="B40" s="13">
        <v>6922</v>
      </c>
      <c r="C40" s="14">
        <f>(5740/B40*100)</f>
        <v>82.924010401618034</v>
      </c>
      <c r="D40" s="15">
        <v>1182</v>
      </c>
      <c r="E40" s="14">
        <v>46.910430140000003</v>
      </c>
      <c r="F40" s="16">
        <v>2.27837741</v>
      </c>
      <c r="G40" s="14">
        <v>53.089569859999997</v>
      </c>
      <c r="H40" s="16">
        <v>2.27837741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(2356/B41*100)</f>
        <v>82.550805886475118</v>
      </c>
      <c r="D41" s="15">
        <v>498</v>
      </c>
      <c r="E41" s="14">
        <v>53.74844169</v>
      </c>
      <c r="F41" s="16">
        <v>2.4630039899999998</v>
      </c>
      <c r="G41" s="14">
        <v>46.25155831</v>
      </c>
      <c r="H41" s="16">
        <v>2.4630039899999998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83.213859190561493</v>
      </c>
      <c r="D42" s="15">
        <f>IF(COUNT(D7:D41) &gt; 0, AVERAGE(D7:D41), "—")</f>
        <v>606.40625</v>
      </c>
      <c r="E42" s="14">
        <f>IF(COUNT(E7:E41) &gt; 0, AVERAGE(E7:E41), "—")</f>
        <v>52.602702132812496</v>
      </c>
      <c r="F42" s="16">
        <f>IF(COUNT(F7:F41) &gt; 0, SQRT(SUMSQ(F7:F41)/(COUNT(F7:F41)*COUNT(F7:F41)) ), "—")</f>
        <v>0.40834318891862809</v>
      </c>
      <c r="G42" s="14">
        <f>IF(COUNT(G7:G41) &gt; 0, AVERAGE(G7:G41), "—")</f>
        <v>47.397297867187504</v>
      </c>
      <c r="H42" s="16">
        <f>IF(COUNT(H7:H41) &gt; 0, SQRT(SUMSQ(H7:H41)/(COUNT(H7:H41)*COUNT(H7:H41)) ), "—")</f>
        <v>0.40834318891862809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(10528/B46*100)</f>
        <v>87.2028493332229</v>
      </c>
      <c r="D46" s="15">
        <v>1545</v>
      </c>
      <c r="E46" s="14">
        <v>76.869013769999995</v>
      </c>
      <c r="F46" s="16">
        <v>1.4920319099999999</v>
      </c>
      <c r="G46" s="14">
        <v>23.130986230000001</v>
      </c>
      <c r="H46" s="16">
        <v>1.4920319099999999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(2353/B47*100)</f>
        <v>83.351044987601838</v>
      </c>
      <c r="D47" s="15">
        <v>470</v>
      </c>
      <c r="E47" s="14">
        <v>66.020560649999993</v>
      </c>
      <c r="F47" s="16">
        <v>2.1489498899999999</v>
      </c>
      <c r="G47" s="14">
        <v>33.97943935</v>
      </c>
      <c r="H47" s="16">
        <v>2.1489498899999999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(3888/B48*100)</f>
        <v>83.041435284066637</v>
      </c>
      <c r="D48" s="15">
        <v>794</v>
      </c>
      <c r="E48" s="14">
        <v>56.897131049999999</v>
      </c>
      <c r="F48" s="16">
        <v>2.2549226299999998</v>
      </c>
      <c r="G48" s="14">
        <v>43.102868950000001</v>
      </c>
      <c r="H48" s="16">
        <v>2.2549226299999998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(5168/B50*100)</f>
        <v>83.923351737577136</v>
      </c>
      <c r="D50" s="15">
        <v>990</v>
      </c>
      <c r="E50" s="14">
        <v>64.656212830000001</v>
      </c>
      <c r="F50" s="16">
        <v>2.3120317500000001</v>
      </c>
      <c r="G50" s="14">
        <v>35.343787169999999</v>
      </c>
      <c r="H50" s="16">
        <v>2.3120317500000001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69.951595380000001</v>
      </c>
      <c r="F51" s="16">
        <v>2.0896123800000002</v>
      </c>
      <c r="G51" s="14">
        <v>30.048404619999999</v>
      </c>
      <c r="H51" s="16">
        <v>2.0896123800000002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71.111396959999993</v>
      </c>
      <c r="F52" s="16">
        <v>2.1688530699999999</v>
      </c>
      <c r="G52" s="14">
        <v>28.88860304</v>
      </c>
      <c r="H52" s="16">
        <v>2.1688530699999999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(2316/B53*100)</f>
        <v>83.913043478260875</v>
      </c>
      <c r="D53" s="15">
        <v>444</v>
      </c>
      <c r="E53" s="14">
        <v>71.040414440000006</v>
      </c>
      <c r="F53" s="16">
        <v>2.1759476100000001</v>
      </c>
      <c r="G53" s="14">
        <v>28.959585560000001</v>
      </c>
      <c r="H53" s="16">
        <v>2.1759476100000001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(2209/B56*100)</f>
        <v>82.579439252336456</v>
      </c>
      <c r="D56" s="15">
        <v>466</v>
      </c>
      <c r="E56" s="14">
        <v>35.287791550000001</v>
      </c>
      <c r="F56" s="16">
        <v>2.2896468200000002</v>
      </c>
      <c r="G56" s="14">
        <v>64.712208450000006</v>
      </c>
      <c r="H56" s="16">
        <v>2.2896468200000002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(2653/B61*100)</f>
        <v>82.880349890659161</v>
      </c>
      <c r="D61" s="15">
        <v>548</v>
      </c>
      <c r="E61" s="14">
        <v>63.872939690000003</v>
      </c>
      <c r="F61" s="16">
        <v>2.1064091199999999</v>
      </c>
      <c r="G61" s="14">
        <v>36.127060309999997</v>
      </c>
      <c r="H61" s="16">
        <v>2.1064091199999999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38.169634260000002</v>
      </c>
      <c r="F62" s="16">
        <v>2.6537506099999999</v>
      </c>
      <c r="G62" s="14">
        <v>61.830365739999998</v>
      </c>
      <c r="H62" s="16">
        <v>2.6537506099999999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75.650313530000005</v>
      </c>
      <c r="F66" s="16">
        <v>2.1850993399999998</v>
      </c>
      <c r="G66" s="14">
        <v>24.349686470000002</v>
      </c>
      <c r="H66" s="16">
        <v>2.1850993399999998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(2969/B67*100)</f>
        <v>85.809248554913296</v>
      </c>
      <c r="D67" s="15">
        <v>491</v>
      </c>
      <c r="E67" s="14">
        <v>65.804910219999996</v>
      </c>
      <c r="F67" s="16">
        <v>2.3108827700000001</v>
      </c>
      <c r="G67" s="14">
        <v>34.195089780000004</v>
      </c>
      <c r="H67" s="16">
        <v>2.3108827700000001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(2579/B70*100)</f>
        <v>83.006115223688454</v>
      </c>
      <c r="D70" s="15">
        <v>528</v>
      </c>
      <c r="E70" s="14">
        <v>57.15573397</v>
      </c>
      <c r="F70" s="16">
        <v>2.2828358400000002</v>
      </c>
      <c r="G70" s="14">
        <v>42.84426603</v>
      </c>
      <c r="H70" s="16">
        <v>2.2828358400000002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(3156/B72*100)</f>
        <v>82.639434406912798</v>
      </c>
      <c r="D72" s="15">
        <v>663</v>
      </c>
      <c r="E72" s="14">
        <v>49.088922760000003</v>
      </c>
      <c r="F72" s="16">
        <v>2.0281398099999999</v>
      </c>
      <c r="G72" s="14">
        <v>50.911077239999997</v>
      </c>
      <c r="H72" s="16">
        <v>2.0281398099999999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(3927/B73*100)</f>
        <v>84.41530524505589</v>
      </c>
      <c r="D73" s="15">
        <v>725</v>
      </c>
      <c r="E73" s="14">
        <v>67.390851040000001</v>
      </c>
      <c r="F73" s="16">
        <v>1.9865579200000001</v>
      </c>
      <c r="G73" s="14">
        <v>32.609148959999999</v>
      </c>
      <c r="H73" s="16">
        <v>1.9865579200000001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74.401923159999996</v>
      </c>
      <c r="F75" s="16">
        <v>2.08196599</v>
      </c>
      <c r="G75" s="14">
        <v>25.598076840000001</v>
      </c>
      <c r="H75" s="16">
        <v>2.08196599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(5913/B76*100)</f>
        <v>83.106113843991565</v>
      </c>
      <c r="D76" s="15">
        <v>1202</v>
      </c>
      <c r="E76" s="14">
        <v>64.959839439999996</v>
      </c>
      <c r="F76" s="16">
        <v>1.7945522599999999</v>
      </c>
      <c r="G76" s="14">
        <v>35.040160559999997</v>
      </c>
      <c r="H76" s="16">
        <v>1.7945522599999999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(2638/B77*100)</f>
        <v>83.639822447685475</v>
      </c>
      <c r="D77" s="15">
        <v>516</v>
      </c>
      <c r="E77" s="14">
        <v>64.995269449999995</v>
      </c>
      <c r="F77" s="16">
        <v>2.2876979</v>
      </c>
      <c r="G77" s="14">
        <v>35.004730549999998</v>
      </c>
      <c r="H77" s="16">
        <v>2.2876979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(3899/B81*100)</f>
        <v>82.992762877820354</v>
      </c>
      <c r="D81" s="15">
        <v>799</v>
      </c>
      <c r="E81" s="14">
        <v>67.062981410000006</v>
      </c>
      <c r="F81" s="16">
        <v>2.18405973</v>
      </c>
      <c r="G81" s="14">
        <v>32.937018590000001</v>
      </c>
      <c r="H81" s="16">
        <v>2.18405973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342</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(5948/B7*100)</f>
        <v>83.037833310065608</v>
      </c>
      <c r="D7" s="15">
        <v>1215</v>
      </c>
      <c r="E7" s="14">
        <v>35.795412839999997</v>
      </c>
      <c r="F7" s="16">
        <v>1.5258368899999999</v>
      </c>
      <c r="G7" s="14">
        <v>56.679416869999997</v>
      </c>
      <c r="H7" s="16">
        <v>1.59357555</v>
      </c>
      <c r="I7" s="14">
        <v>7.5251702900000002</v>
      </c>
      <c r="J7" s="16">
        <v>0.98860873999999999</v>
      </c>
      <c r="K7" s="14" t="s">
        <v>139</v>
      </c>
      <c r="L7" s="16" t="s">
        <v>139</v>
      </c>
      <c r="M7" s="14">
        <v>0</v>
      </c>
      <c r="N7" s="16">
        <v>0</v>
      </c>
      <c r="O7" s="14">
        <v>0</v>
      </c>
      <c r="P7" s="16">
        <v>0</v>
      </c>
      <c r="Q7" s="14">
        <v>0</v>
      </c>
      <c r="R7" s="16">
        <v>0</v>
      </c>
      <c r="S7" s="14">
        <v>0</v>
      </c>
      <c r="T7" s="16">
        <v>0</v>
      </c>
    </row>
    <row r="8" spans="1:20" x14ac:dyDescent="0.25">
      <c r="A8" s="11" t="s">
        <v>140</v>
      </c>
      <c r="B8" s="13">
        <v>3443</v>
      </c>
      <c r="C8" s="14">
        <f>(2835/B8*100)</f>
        <v>82.340981702004072</v>
      </c>
      <c r="D8" s="15">
        <v>608</v>
      </c>
      <c r="E8" s="14">
        <v>35.483550399999999</v>
      </c>
      <c r="F8" s="16">
        <v>2.28508303</v>
      </c>
      <c r="G8" s="14">
        <v>56.990569020000002</v>
      </c>
      <c r="H8" s="16">
        <v>2.3478984399999998</v>
      </c>
      <c r="I8" s="14">
        <v>7.5258805799999999</v>
      </c>
      <c r="J8" s="16">
        <v>1.1875494499999999</v>
      </c>
      <c r="K8" s="14" t="s">
        <v>139</v>
      </c>
      <c r="L8" s="16" t="s">
        <v>139</v>
      </c>
      <c r="M8" s="14">
        <v>0</v>
      </c>
      <c r="N8" s="16">
        <v>0</v>
      </c>
      <c r="O8" s="14">
        <v>0</v>
      </c>
      <c r="P8" s="16">
        <v>0</v>
      </c>
      <c r="Q8" s="14">
        <v>0</v>
      </c>
      <c r="R8" s="16">
        <v>0</v>
      </c>
      <c r="S8" s="14">
        <v>0</v>
      </c>
      <c r="T8" s="16">
        <v>0</v>
      </c>
    </row>
    <row r="9" spans="1:20" x14ac:dyDescent="0.25">
      <c r="A9" s="11" t="s">
        <v>141</v>
      </c>
      <c r="B9" s="13">
        <v>4752</v>
      </c>
      <c r="C9" s="14">
        <f>(3984/B9*100)</f>
        <v>83.838383838383834</v>
      </c>
      <c r="D9" s="15">
        <v>768</v>
      </c>
      <c r="E9" s="14">
        <v>44.94311759</v>
      </c>
      <c r="F9" s="16">
        <v>1.6801444000000001</v>
      </c>
      <c r="G9" s="14">
        <v>46.728944550000001</v>
      </c>
      <c r="H9" s="16">
        <v>1.74277953</v>
      </c>
      <c r="I9" s="14">
        <v>8.3279378499999996</v>
      </c>
      <c r="J9" s="16">
        <v>0.98040201999999999</v>
      </c>
      <c r="K9" s="14" t="s">
        <v>139</v>
      </c>
      <c r="L9" s="16" t="s">
        <v>139</v>
      </c>
      <c r="M9" s="14">
        <v>0</v>
      </c>
      <c r="N9" s="16">
        <v>0</v>
      </c>
      <c r="O9" s="14">
        <v>0</v>
      </c>
      <c r="P9" s="16">
        <v>0</v>
      </c>
      <c r="Q9" s="14">
        <v>0</v>
      </c>
      <c r="R9" s="16">
        <v>0</v>
      </c>
      <c r="S9" s="14">
        <v>0</v>
      </c>
      <c r="T9" s="16">
        <v>0</v>
      </c>
    </row>
    <row r="10" spans="1:20" x14ac:dyDescent="0.25">
      <c r="A10" s="11" t="s">
        <v>142</v>
      </c>
      <c r="B10" s="13">
        <v>10022</v>
      </c>
      <c r="C10" s="14">
        <f>(8323/B10*100)</f>
        <v>83.047295948912392</v>
      </c>
      <c r="D10" s="15">
        <v>1699</v>
      </c>
      <c r="E10" s="14">
        <v>42.746373579999997</v>
      </c>
      <c r="F10" s="16">
        <v>1.68868661</v>
      </c>
      <c r="G10" s="14">
        <v>49.723329550000003</v>
      </c>
      <c r="H10" s="16">
        <v>1.6705682500000001</v>
      </c>
      <c r="I10" s="14">
        <v>7.53029686</v>
      </c>
      <c r="J10" s="16">
        <v>0.82279537999999997</v>
      </c>
      <c r="K10" s="14" t="s">
        <v>139</v>
      </c>
      <c r="L10" s="16" t="s">
        <v>139</v>
      </c>
      <c r="M10" s="14">
        <v>0</v>
      </c>
      <c r="N10" s="16">
        <v>0</v>
      </c>
      <c r="O10" s="14">
        <v>0</v>
      </c>
      <c r="P10" s="16">
        <v>0</v>
      </c>
      <c r="Q10" s="14">
        <v>0</v>
      </c>
      <c r="R10" s="16">
        <v>0</v>
      </c>
      <c r="S10" s="14">
        <v>0</v>
      </c>
      <c r="T10" s="16">
        <v>0</v>
      </c>
    </row>
    <row r="11" spans="1:20" x14ac:dyDescent="0.25">
      <c r="A11" s="11" t="s">
        <v>143</v>
      </c>
      <c r="B11" s="13">
        <v>3500</v>
      </c>
      <c r="C11" s="14">
        <f>(2915/B11*100)</f>
        <v>83.285714285714292</v>
      </c>
      <c r="D11" s="15">
        <v>585</v>
      </c>
      <c r="E11" s="14">
        <v>53.496629329999998</v>
      </c>
      <c r="F11" s="16">
        <v>1.9681579899999999</v>
      </c>
      <c r="G11" s="14">
        <v>35.104187469999999</v>
      </c>
      <c r="H11" s="16">
        <v>2.1013904600000002</v>
      </c>
      <c r="I11" s="14">
        <v>11.3991832</v>
      </c>
      <c r="J11" s="16">
        <v>1.4433179700000001</v>
      </c>
      <c r="K11" s="14" t="s">
        <v>139</v>
      </c>
      <c r="L11" s="16" t="s">
        <v>139</v>
      </c>
      <c r="M11" s="14">
        <v>0</v>
      </c>
      <c r="N11" s="16">
        <v>0</v>
      </c>
      <c r="O11" s="14">
        <v>0</v>
      </c>
      <c r="P11" s="16">
        <v>0</v>
      </c>
      <c r="Q11" s="14">
        <v>0</v>
      </c>
      <c r="R11" s="16">
        <v>0</v>
      </c>
      <c r="S11" s="14">
        <v>0</v>
      </c>
      <c r="T11" s="16">
        <v>0</v>
      </c>
    </row>
    <row r="12" spans="1:20" x14ac:dyDescent="0.25">
      <c r="A12" s="11" t="s">
        <v>144</v>
      </c>
      <c r="B12" s="13">
        <v>3422</v>
      </c>
      <c r="C12" s="14">
        <f>(2874/B12*100)</f>
        <v>83.985973115137341</v>
      </c>
      <c r="D12" s="15">
        <v>548</v>
      </c>
      <c r="E12" s="14">
        <v>35.755991979999997</v>
      </c>
      <c r="F12" s="16">
        <v>2.3471049900000001</v>
      </c>
      <c r="G12" s="14">
        <v>53.40973735</v>
      </c>
      <c r="H12" s="16">
        <v>2.7145183300000002</v>
      </c>
      <c r="I12" s="14">
        <v>10.834270679999999</v>
      </c>
      <c r="J12" s="16">
        <v>1.5500307900000001</v>
      </c>
      <c r="K12" s="14" t="s">
        <v>139</v>
      </c>
      <c r="L12" s="16" t="s">
        <v>139</v>
      </c>
      <c r="M12" s="14">
        <v>0</v>
      </c>
      <c r="N12" s="16">
        <v>0</v>
      </c>
      <c r="O12" s="14">
        <v>0</v>
      </c>
      <c r="P12" s="16">
        <v>0</v>
      </c>
      <c r="Q12" s="14">
        <v>0</v>
      </c>
      <c r="R12" s="16">
        <v>0</v>
      </c>
      <c r="S12" s="14">
        <v>0</v>
      </c>
      <c r="T12" s="16">
        <v>0</v>
      </c>
    </row>
    <row r="13" spans="1:20" x14ac:dyDescent="0.25">
      <c r="A13" s="11" t="s">
        <v>145</v>
      </c>
      <c r="B13" s="13">
        <v>3602</v>
      </c>
      <c r="C13" s="14">
        <f>(3009/B13*100)</f>
        <v>83.53692393114936</v>
      </c>
      <c r="D13" s="15">
        <v>593</v>
      </c>
      <c r="E13" s="14">
        <v>28.810639500000001</v>
      </c>
      <c r="F13" s="16">
        <v>1.8312837399999999</v>
      </c>
      <c r="G13" s="14">
        <v>65.718013549999995</v>
      </c>
      <c r="H13" s="16">
        <v>1.9618935799999999</v>
      </c>
      <c r="I13" s="14">
        <v>5.4713469400000001</v>
      </c>
      <c r="J13" s="16">
        <v>1.1049328</v>
      </c>
      <c r="K13" s="14" t="s">
        <v>139</v>
      </c>
      <c r="L13" s="16" t="s">
        <v>139</v>
      </c>
      <c r="M13" s="14">
        <v>0</v>
      </c>
      <c r="N13" s="16">
        <v>0</v>
      </c>
      <c r="O13" s="14">
        <v>0</v>
      </c>
      <c r="P13" s="16">
        <v>0</v>
      </c>
      <c r="Q13" s="14">
        <v>0</v>
      </c>
      <c r="R13" s="16">
        <v>0</v>
      </c>
      <c r="S13" s="14">
        <v>0</v>
      </c>
      <c r="T13" s="16">
        <v>0</v>
      </c>
    </row>
    <row r="14" spans="1:20" x14ac:dyDescent="0.25">
      <c r="A14" s="11" t="s">
        <v>146</v>
      </c>
      <c r="B14" s="13">
        <v>2788</v>
      </c>
      <c r="C14" s="14">
        <f>(2309/B14*100)</f>
        <v>82.819225251076048</v>
      </c>
      <c r="D14" s="15">
        <v>479</v>
      </c>
      <c r="E14" s="14">
        <v>31.5633804</v>
      </c>
      <c r="F14" s="16">
        <v>2.3881122700000001</v>
      </c>
      <c r="G14" s="14">
        <v>61.63091979</v>
      </c>
      <c r="H14" s="16">
        <v>2.43024152</v>
      </c>
      <c r="I14" s="14">
        <v>6.8056998100000001</v>
      </c>
      <c r="J14" s="16">
        <v>1.19516826</v>
      </c>
      <c r="K14" s="14" t="s">
        <v>139</v>
      </c>
      <c r="L14" s="16" t="s">
        <v>139</v>
      </c>
      <c r="M14" s="14">
        <v>0</v>
      </c>
      <c r="N14" s="16">
        <v>0</v>
      </c>
      <c r="O14" s="14">
        <v>0</v>
      </c>
      <c r="P14" s="16">
        <v>0</v>
      </c>
      <c r="Q14" s="14">
        <v>0</v>
      </c>
      <c r="R14" s="16">
        <v>0</v>
      </c>
      <c r="S14" s="14">
        <v>0</v>
      </c>
      <c r="T14" s="16">
        <v>0</v>
      </c>
    </row>
    <row r="15" spans="1:20" x14ac:dyDescent="0.25">
      <c r="A15" s="11" t="s">
        <v>147</v>
      </c>
      <c r="B15" s="13">
        <v>2863</v>
      </c>
      <c r="C15" s="14">
        <f>(2367/B15*100)</f>
        <v>82.675515193852604</v>
      </c>
      <c r="D15" s="15">
        <v>496</v>
      </c>
      <c r="E15" s="14">
        <v>36.012505189999999</v>
      </c>
      <c r="F15" s="16">
        <v>2.3759730999999999</v>
      </c>
      <c r="G15" s="14">
        <v>54.658291319999996</v>
      </c>
      <c r="H15" s="16">
        <v>2.5403998900000002</v>
      </c>
      <c r="I15" s="14">
        <v>9.3292035000000002</v>
      </c>
      <c r="J15" s="16">
        <v>1.25291391</v>
      </c>
      <c r="K15" s="14" t="s">
        <v>139</v>
      </c>
      <c r="L15" s="16" t="s">
        <v>139</v>
      </c>
      <c r="M15" s="14">
        <v>0</v>
      </c>
      <c r="N15" s="16">
        <v>0</v>
      </c>
      <c r="O15" s="14">
        <v>0</v>
      </c>
      <c r="P15" s="16">
        <v>0</v>
      </c>
      <c r="Q15" s="14">
        <v>0</v>
      </c>
      <c r="R15" s="16">
        <v>0</v>
      </c>
      <c r="S15" s="14">
        <v>0</v>
      </c>
      <c r="T15" s="16">
        <v>0</v>
      </c>
    </row>
    <row r="16" spans="1:20" x14ac:dyDescent="0.25">
      <c r="A16" s="11" t="s">
        <v>148</v>
      </c>
      <c r="B16" s="13">
        <v>3111</v>
      </c>
      <c r="C16" s="14">
        <f>(2573/B16*100)</f>
        <v>82.706525233044033</v>
      </c>
      <c r="D16" s="15">
        <v>538</v>
      </c>
      <c r="E16" s="14">
        <v>47.947365550000001</v>
      </c>
      <c r="F16" s="16">
        <v>2.0163779399999999</v>
      </c>
      <c r="G16" s="14">
        <v>43.613447270000002</v>
      </c>
      <c r="H16" s="16">
        <v>1.8597607599999999</v>
      </c>
      <c r="I16" s="14">
        <v>8.4391871799999993</v>
      </c>
      <c r="J16" s="16">
        <v>1.21014187</v>
      </c>
      <c r="K16" s="14" t="s">
        <v>139</v>
      </c>
      <c r="L16" s="16" t="s">
        <v>139</v>
      </c>
      <c r="M16" s="14">
        <v>0</v>
      </c>
      <c r="N16" s="16">
        <v>0</v>
      </c>
      <c r="O16" s="14">
        <v>0</v>
      </c>
      <c r="P16" s="16">
        <v>0</v>
      </c>
      <c r="Q16" s="14">
        <v>0</v>
      </c>
      <c r="R16" s="16">
        <v>0</v>
      </c>
      <c r="S16" s="14">
        <v>0</v>
      </c>
      <c r="T16" s="16">
        <v>0</v>
      </c>
    </row>
    <row r="17" spans="1:20" x14ac:dyDescent="0.25">
      <c r="A17" s="11" t="s">
        <v>149</v>
      </c>
      <c r="B17" s="13">
        <v>3197</v>
      </c>
      <c r="C17" s="14">
        <f>(2627/B17*100)</f>
        <v>82.170785111041596</v>
      </c>
      <c r="D17" s="15">
        <v>570</v>
      </c>
      <c r="E17" s="14">
        <v>32.526460980000003</v>
      </c>
      <c r="F17" s="16">
        <v>1.8993749099999999</v>
      </c>
      <c r="G17" s="14">
        <v>59.310145609999999</v>
      </c>
      <c r="H17" s="16">
        <v>1.98449104</v>
      </c>
      <c r="I17" s="14">
        <v>8.1633934099999994</v>
      </c>
      <c r="J17" s="16">
        <v>1.2095369199999999</v>
      </c>
      <c r="K17" s="14" t="s">
        <v>139</v>
      </c>
      <c r="L17" s="16" t="s">
        <v>139</v>
      </c>
      <c r="M17" s="14">
        <v>0</v>
      </c>
      <c r="N17" s="16">
        <v>0</v>
      </c>
      <c r="O17" s="14">
        <v>0</v>
      </c>
      <c r="P17" s="16">
        <v>0</v>
      </c>
      <c r="Q17" s="14">
        <v>0</v>
      </c>
      <c r="R17" s="16">
        <v>0</v>
      </c>
      <c r="S17" s="14">
        <v>0</v>
      </c>
      <c r="T17" s="16">
        <v>0</v>
      </c>
    </row>
    <row r="18" spans="1:20" x14ac:dyDescent="0.25">
      <c r="A18" s="11" t="s">
        <v>150</v>
      </c>
      <c r="B18" s="13">
        <v>2706</v>
      </c>
      <c r="C18" s="14">
        <f>(2237/B18*100)</f>
        <v>82.668144863266818</v>
      </c>
      <c r="D18" s="15">
        <v>469</v>
      </c>
      <c r="E18" s="14">
        <v>43.030856059999998</v>
      </c>
      <c r="F18" s="16">
        <v>2.8724263200000002</v>
      </c>
      <c r="G18" s="14">
        <v>39.298476530000002</v>
      </c>
      <c r="H18" s="16">
        <v>2.4909138199999998</v>
      </c>
      <c r="I18" s="14">
        <v>17.67066741</v>
      </c>
      <c r="J18" s="16">
        <v>1.6623979</v>
      </c>
      <c r="K18" s="14" t="s">
        <v>139</v>
      </c>
      <c r="L18" s="16" t="s">
        <v>139</v>
      </c>
      <c r="M18" s="14">
        <v>0</v>
      </c>
      <c r="N18" s="16">
        <v>0</v>
      </c>
      <c r="O18" s="14">
        <v>0</v>
      </c>
      <c r="P18" s="16">
        <v>0</v>
      </c>
      <c r="Q18" s="14">
        <v>0</v>
      </c>
      <c r="R18" s="16">
        <v>0</v>
      </c>
      <c r="S18" s="14">
        <v>0</v>
      </c>
      <c r="T18" s="16">
        <v>0</v>
      </c>
    </row>
    <row r="19" spans="1:20" x14ac:dyDescent="0.25">
      <c r="A19" s="11" t="s">
        <v>151</v>
      </c>
      <c r="B19" s="13">
        <v>2850</v>
      </c>
      <c r="C19" s="14">
        <f>(2377/B19*100)</f>
        <v>83.403508771929822</v>
      </c>
      <c r="D19" s="15">
        <v>473</v>
      </c>
      <c r="E19" s="14">
        <v>39.552764570000001</v>
      </c>
      <c r="F19" s="16">
        <v>2.2953267400000001</v>
      </c>
      <c r="G19" s="14">
        <v>51.813325519999999</v>
      </c>
      <c r="H19" s="16">
        <v>2.2749913400000001</v>
      </c>
      <c r="I19" s="14">
        <v>8.6339099099999999</v>
      </c>
      <c r="J19" s="16">
        <v>1.1417423</v>
      </c>
      <c r="K19" s="14" t="s">
        <v>139</v>
      </c>
      <c r="L19" s="16" t="s">
        <v>139</v>
      </c>
      <c r="M19" s="14">
        <v>0</v>
      </c>
      <c r="N19" s="16">
        <v>0</v>
      </c>
      <c r="O19" s="14">
        <v>0</v>
      </c>
      <c r="P19" s="16">
        <v>0</v>
      </c>
      <c r="Q19" s="14">
        <v>0</v>
      </c>
      <c r="R19" s="16">
        <v>0</v>
      </c>
      <c r="S19" s="14">
        <v>0</v>
      </c>
      <c r="T19" s="16">
        <v>0</v>
      </c>
    </row>
    <row r="20" spans="1:20" x14ac:dyDescent="0.25">
      <c r="A20" s="11" t="s">
        <v>152</v>
      </c>
      <c r="B20" s="13">
        <v>1741</v>
      </c>
      <c r="C20" s="14">
        <f>(1443/B20*100)</f>
        <v>82.883400344629521</v>
      </c>
      <c r="D20" s="15">
        <v>298</v>
      </c>
      <c r="E20" s="14">
        <v>53.400403060000002</v>
      </c>
      <c r="F20" s="16">
        <v>3.3745519599999998</v>
      </c>
      <c r="G20" s="14">
        <v>35.665458520000001</v>
      </c>
      <c r="H20" s="16">
        <v>2.9900046699999998</v>
      </c>
      <c r="I20" s="14">
        <v>10.934138430000001</v>
      </c>
      <c r="J20" s="16">
        <v>2.1501146200000001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(3138/B22*100)</f>
        <v>85.574038723752395</v>
      </c>
      <c r="D22" s="15">
        <v>529</v>
      </c>
      <c r="E22" s="14">
        <v>50.065375969999998</v>
      </c>
      <c r="F22" s="16">
        <v>2.2787141700000002</v>
      </c>
      <c r="G22" s="14">
        <v>38.329407510000003</v>
      </c>
      <c r="H22" s="16">
        <v>2.2636023500000002</v>
      </c>
      <c r="I22" s="14">
        <v>11.605216520000001</v>
      </c>
      <c r="J22" s="16">
        <v>1.42136091</v>
      </c>
      <c r="K22" s="14" t="s">
        <v>139</v>
      </c>
      <c r="L22" s="16" t="s">
        <v>139</v>
      </c>
      <c r="M22" s="14">
        <v>0</v>
      </c>
      <c r="N22" s="16">
        <v>0</v>
      </c>
      <c r="O22" s="14">
        <v>0</v>
      </c>
      <c r="P22" s="16">
        <v>0</v>
      </c>
      <c r="Q22" s="14">
        <v>0</v>
      </c>
      <c r="R22" s="16">
        <v>0</v>
      </c>
      <c r="S22" s="14">
        <v>0</v>
      </c>
      <c r="T22" s="16">
        <v>0</v>
      </c>
    </row>
    <row r="23" spans="1:20" x14ac:dyDescent="0.25">
      <c r="A23" s="11" t="s">
        <v>156</v>
      </c>
      <c r="B23" s="13">
        <v>5792</v>
      </c>
      <c r="C23" s="14">
        <f>(4803/B23*100)</f>
        <v>82.924723756906076</v>
      </c>
      <c r="D23" s="15">
        <v>989</v>
      </c>
      <c r="E23" s="14">
        <v>49.176741010000001</v>
      </c>
      <c r="F23" s="16">
        <v>2.4923846699999999</v>
      </c>
      <c r="G23" s="14">
        <v>40.307356849999998</v>
      </c>
      <c r="H23" s="16">
        <v>2.7738094100000001</v>
      </c>
      <c r="I23" s="14">
        <v>10.515902130000001</v>
      </c>
      <c r="J23" s="16">
        <v>1.55976925</v>
      </c>
      <c r="K23" s="14" t="s">
        <v>139</v>
      </c>
      <c r="L23" s="16" t="s">
        <v>139</v>
      </c>
      <c r="M23" s="14">
        <v>0</v>
      </c>
      <c r="N23" s="16">
        <v>0</v>
      </c>
      <c r="O23" s="14">
        <v>0</v>
      </c>
      <c r="P23" s="16">
        <v>0</v>
      </c>
      <c r="Q23" s="14">
        <v>0</v>
      </c>
      <c r="R23" s="16">
        <v>0</v>
      </c>
      <c r="S23" s="14">
        <v>0</v>
      </c>
      <c r="T23" s="16">
        <v>0</v>
      </c>
    </row>
    <row r="24" spans="1:20" x14ac:dyDescent="0.25">
      <c r="A24" s="11" t="s">
        <v>157</v>
      </c>
      <c r="B24" s="13">
        <v>3309</v>
      </c>
      <c r="C24" s="14">
        <f>(2724/B24*100)</f>
        <v>82.320942883046229</v>
      </c>
      <c r="D24" s="15">
        <v>585</v>
      </c>
      <c r="E24" s="14">
        <v>29.646230259999999</v>
      </c>
      <c r="F24" s="16">
        <v>2.03967644</v>
      </c>
      <c r="G24" s="14">
        <v>63.674602950000001</v>
      </c>
      <c r="H24" s="16">
        <v>1.9571831500000001</v>
      </c>
      <c r="I24" s="14">
        <v>6.67916679</v>
      </c>
      <c r="J24" s="16">
        <v>0.87188608999999995</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41.081298160000003</v>
      </c>
      <c r="F25" s="16">
        <v>2.2243428199999999</v>
      </c>
      <c r="G25" s="14">
        <v>50.438920779999997</v>
      </c>
      <c r="H25" s="16">
        <v>2.2035384100000002</v>
      </c>
      <c r="I25" s="14">
        <v>8.4797810600000005</v>
      </c>
      <c r="J25" s="16">
        <v>1.23953074</v>
      </c>
      <c r="K25" s="14" t="s">
        <v>139</v>
      </c>
      <c r="L25" s="16" t="s">
        <v>139</v>
      </c>
      <c r="M25" s="14">
        <v>0</v>
      </c>
      <c r="N25" s="16">
        <v>0</v>
      </c>
      <c r="O25" s="14">
        <v>0</v>
      </c>
      <c r="P25" s="16">
        <v>0</v>
      </c>
      <c r="Q25" s="14">
        <v>0</v>
      </c>
      <c r="R25" s="16">
        <v>0</v>
      </c>
      <c r="S25" s="14">
        <v>0</v>
      </c>
      <c r="T25" s="16">
        <v>0</v>
      </c>
    </row>
    <row r="26" spans="1:20" x14ac:dyDescent="0.25">
      <c r="A26" s="11" t="s">
        <v>159</v>
      </c>
      <c r="B26" s="13">
        <v>2419</v>
      </c>
      <c r="C26" s="14">
        <f>(1994/B26*100)</f>
        <v>82.430756510954936</v>
      </c>
      <c r="D26" s="15">
        <v>425</v>
      </c>
      <c r="E26" s="14">
        <v>36.278924539999998</v>
      </c>
      <c r="F26" s="16">
        <v>2.4890989100000001</v>
      </c>
      <c r="G26" s="14">
        <v>53.47508234</v>
      </c>
      <c r="H26" s="16">
        <v>2.8333838899999999</v>
      </c>
      <c r="I26" s="14">
        <v>10.24599312</v>
      </c>
      <c r="J26" s="16">
        <v>1.57395324</v>
      </c>
      <c r="K26" s="14" t="s">
        <v>139</v>
      </c>
      <c r="L26" s="16" t="s">
        <v>139</v>
      </c>
      <c r="M26" s="14">
        <v>0</v>
      </c>
      <c r="N26" s="16">
        <v>0</v>
      </c>
      <c r="O26" s="14">
        <v>0</v>
      </c>
      <c r="P26" s="16">
        <v>0</v>
      </c>
      <c r="Q26" s="14">
        <v>0</v>
      </c>
      <c r="R26" s="16">
        <v>0</v>
      </c>
      <c r="S26" s="14">
        <v>0</v>
      </c>
      <c r="T26" s="16">
        <v>0</v>
      </c>
    </row>
    <row r="27" spans="1:20" x14ac:dyDescent="0.25">
      <c r="A27" s="11" t="s">
        <v>160</v>
      </c>
      <c r="B27" s="13">
        <v>2683</v>
      </c>
      <c r="C27" s="14">
        <f>(2228/B27*100)</f>
        <v>83.041371598956388</v>
      </c>
      <c r="D27" s="15">
        <v>455</v>
      </c>
      <c r="E27" s="14">
        <v>44.577096959999999</v>
      </c>
      <c r="F27" s="16">
        <v>1.9349604600000001</v>
      </c>
      <c r="G27" s="14">
        <v>46.7239845</v>
      </c>
      <c r="H27" s="16">
        <v>1.9994881</v>
      </c>
      <c r="I27" s="14">
        <v>8.6989185300000003</v>
      </c>
      <c r="J27" s="16">
        <v>1.4605223599999999</v>
      </c>
      <c r="K27" s="14" t="s">
        <v>139</v>
      </c>
      <c r="L27" s="16" t="s">
        <v>139</v>
      </c>
      <c r="M27" s="14">
        <v>0</v>
      </c>
      <c r="N27" s="16">
        <v>0</v>
      </c>
      <c r="O27" s="14">
        <v>0</v>
      </c>
      <c r="P27" s="16">
        <v>0</v>
      </c>
      <c r="Q27" s="14">
        <v>0</v>
      </c>
      <c r="R27" s="16">
        <v>0</v>
      </c>
      <c r="S27" s="14">
        <v>0</v>
      </c>
      <c r="T27" s="16">
        <v>0</v>
      </c>
    </row>
    <row r="28" spans="1:20" x14ac:dyDescent="0.25">
      <c r="A28" s="11" t="s">
        <v>161</v>
      </c>
      <c r="B28" s="13">
        <v>3803</v>
      </c>
      <c r="C28" s="14">
        <f>(3209/B28*100)</f>
        <v>84.380752037864852</v>
      </c>
      <c r="D28" s="15">
        <v>594</v>
      </c>
      <c r="E28" s="14">
        <v>54.91589355</v>
      </c>
      <c r="F28" s="16">
        <v>1.9177922199999999</v>
      </c>
      <c r="G28" s="14">
        <v>33.258845630000003</v>
      </c>
      <c r="H28" s="16">
        <v>2.1017696899999998</v>
      </c>
      <c r="I28" s="14">
        <v>11.82526083</v>
      </c>
      <c r="J28" s="16">
        <v>1.6489187700000001</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(2265/B29*100)</f>
        <v>83.888888888888886</v>
      </c>
      <c r="D29" s="15">
        <v>435</v>
      </c>
      <c r="E29" s="14">
        <v>40.43058387</v>
      </c>
      <c r="F29" s="16">
        <v>2.33341427</v>
      </c>
      <c r="G29" s="14">
        <v>49.444825129999998</v>
      </c>
      <c r="H29" s="16">
        <v>2.43323891</v>
      </c>
      <c r="I29" s="14">
        <v>10.12459101</v>
      </c>
      <c r="J29" s="16">
        <v>1.57000312</v>
      </c>
      <c r="K29" s="14" t="s">
        <v>139</v>
      </c>
      <c r="L29" s="16" t="s">
        <v>139</v>
      </c>
      <c r="M29" s="14">
        <v>0</v>
      </c>
      <c r="N29" s="16">
        <v>0</v>
      </c>
      <c r="O29" s="14">
        <v>0</v>
      </c>
      <c r="P29" s="16">
        <v>0</v>
      </c>
      <c r="Q29" s="14">
        <v>0</v>
      </c>
      <c r="R29" s="16">
        <v>0</v>
      </c>
      <c r="S29" s="14">
        <v>0</v>
      </c>
      <c r="T29" s="16">
        <v>0</v>
      </c>
    </row>
    <row r="30" spans="1:20" x14ac:dyDescent="0.25">
      <c r="A30" s="11" t="s">
        <v>163</v>
      </c>
      <c r="B30" s="13">
        <v>2257</v>
      </c>
      <c r="C30" s="14">
        <f>(1911/B30*100)</f>
        <v>84.669915817456797</v>
      </c>
      <c r="D30" s="15">
        <v>346</v>
      </c>
      <c r="E30" s="14">
        <v>34.593244869999999</v>
      </c>
      <c r="F30" s="16">
        <v>2.5261096599999999</v>
      </c>
      <c r="G30" s="14">
        <v>56.011257890000003</v>
      </c>
      <c r="H30" s="16">
        <v>2.6630173500000001</v>
      </c>
      <c r="I30" s="14">
        <v>9.39549725</v>
      </c>
      <c r="J30" s="16">
        <v>1.76731901</v>
      </c>
      <c r="K30" s="14" t="s">
        <v>139</v>
      </c>
      <c r="L30" s="16" t="s">
        <v>139</v>
      </c>
      <c r="M30" s="14">
        <v>0</v>
      </c>
      <c r="N30" s="16">
        <v>0</v>
      </c>
      <c r="O30" s="14">
        <v>0</v>
      </c>
      <c r="P30" s="16">
        <v>0</v>
      </c>
      <c r="Q30" s="14">
        <v>0</v>
      </c>
      <c r="R30" s="16">
        <v>0</v>
      </c>
      <c r="S30" s="14">
        <v>0</v>
      </c>
      <c r="T30" s="16">
        <v>0</v>
      </c>
    </row>
    <row r="31" spans="1:20" x14ac:dyDescent="0.25">
      <c r="A31" s="11" t="s">
        <v>164</v>
      </c>
      <c r="B31" s="13">
        <v>2706</v>
      </c>
      <c r="C31" s="14">
        <f>(2247/B31*100)</f>
        <v>83.037694013303764</v>
      </c>
      <c r="D31" s="15">
        <v>459</v>
      </c>
      <c r="E31" s="14">
        <v>45.829977220000004</v>
      </c>
      <c r="F31" s="16">
        <v>2.51877935</v>
      </c>
      <c r="G31" s="14">
        <v>44.661860949999998</v>
      </c>
      <c r="H31" s="16">
        <v>2.6195218499999999</v>
      </c>
      <c r="I31" s="14">
        <v>9.5081618300000006</v>
      </c>
      <c r="J31" s="16">
        <v>1.2013303799999999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(3051/B33*100)</f>
        <v>83.566146261298286</v>
      </c>
      <c r="D33" s="15">
        <v>600</v>
      </c>
      <c r="E33" s="14">
        <v>40.712080720000003</v>
      </c>
      <c r="F33" s="16">
        <v>2.5362577399999999</v>
      </c>
      <c r="G33" s="14">
        <v>49.684994080000003</v>
      </c>
      <c r="H33" s="16">
        <v>2.34377266</v>
      </c>
      <c r="I33" s="14">
        <v>9.6029251999999996</v>
      </c>
      <c r="J33" s="16">
        <v>1.28627271</v>
      </c>
      <c r="K33" s="14" t="s">
        <v>139</v>
      </c>
      <c r="L33" s="16" t="s">
        <v>139</v>
      </c>
      <c r="M33" s="14">
        <v>0</v>
      </c>
      <c r="N33" s="16">
        <v>0</v>
      </c>
      <c r="O33" s="14">
        <v>0</v>
      </c>
      <c r="P33" s="16">
        <v>0</v>
      </c>
      <c r="Q33" s="14">
        <v>0</v>
      </c>
      <c r="R33" s="16">
        <v>0</v>
      </c>
      <c r="S33" s="14">
        <v>0</v>
      </c>
      <c r="T33" s="16">
        <v>0</v>
      </c>
    </row>
    <row r="34" spans="1:20" x14ac:dyDescent="0.25">
      <c r="A34" s="11" t="s">
        <v>167</v>
      </c>
      <c r="B34" s="13">
        <v>3035</v>
      </c>
      <c r="C34" s="14">
        <f>(2544/B34*100)</f>
        <v>83.82207578253707</v>
      </c>
      <c r="D34" s="15">
        <v>491</v>
      </c>
      <c r="E34" s="14">
        <v>39.806767469999997</v>
      </c>
      <c r="F34" s="16">
        <v>2.4578211900000002</v>
      </c>
      <c r="G34" s="14">
        <v>49.044039159999997</v>
      </c>
      <c r="H34" s="16">
        <v>2.5034224300000001</v>
      </c>
      <c r="I34" s="14">
        <v>11.149193370000001</v>
      </c>
      <c r="J34" s="16">
        <v>1.4717174</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(2422/B35*100)</f>
        <v>83.488452257842127</v>
      </c>
      <c r="D35" s="15">
        <v>479</v>
      </c>
      <c r="E35" s="14">
        <v>29.854646200000001</v>
      </c>
      <c r="F35" s="16">
        <v>2.68989879</v>
      </c>
      <c r="G35" s="14">
        <v>59.928958180000002</v>
      </c>
      <c r="H35" s="16">
        <v>3.0789006799999998</v>
      </c>
      <c r="I35" s="14">
        <v>10.21639562</v>
      </c>
      <c r="J35" s="16">
        <v>2.2792534500000001</v>
      </c>
      <c r="K35" s="14" t="s">
        <v>139</v>
      </c>
      <c r="L35" s="16" t="s">
        <v>139</v>
      </c>
      <c r="M35" s="14">
        <v>0</v>
      </c>
      <c r="N35" s="16">
        <v>0</v>
      </c>
      <c r="O35" s="14">
        <v>0</v>
      </c>
      <c r="P35" s="16">
        <v>0</v>
      </c>
      <c r="Q35" s="14">
        <v>0</v>
      </c>
      <c r="R35" s="16">
        <v>0</v>
      </c>
      <c r="S35" s="14">
        <v>0</v>
      </c>
      <c r="T35" s="16">
        <v>0</v>
      </c>
    </row>
    <row r="36" spans="1:20" x14ac:dyDescent="0.25">
      <c r="A36" s="11" t="s">
        <v>169</v>
      </c>
      <c r="B36" s="13">
        <v>3404</v>
      </c>
      <c r="C36" s="14">
        <f>(2843/B36*100)</f>
        <v>83.519388954171561</v>
      </c>
      <c r="D36" s="15">
        <v>561</v>
      </c>
      <c r="E36" s="14">
        <v>51.94844269</v>
      </c>
      <c r="F36" s="16">
        <v>2.2672162999999999</v>
      </c>
      <c r="G36" s="14">
        <v>39.922972799999997</v>
      </c>
      <c r="H36" s="16">
        <v>2.1756963499999999</v>
      </c>
      <c r="I36" s="14">
        <v>8.1285845099999996</v>
      </c>
      <c r="J36" s="16">
        <v>1.2792057400000001</v>
      </c>
      <c r="K36" s="14" t="s">
        <v>139</v>
      </c>
      <c r="L36" s="16" t="s">
        <v>139</v>
      </c>
      <c r="M36" s="14">
        <v>0</v>
      </c>
      <c r="N36" s="16">
        <v>0</v>
      </c>
      <c r="O36" s="14">
        <v>0</v>
      </c>
      <c r="P36" s="16">
        <v>0</v>
      </c>
      <c r="Q36" s="14">
        <v>0</v>
      </c>
      <c r="R36" s="16">
        <v>0</v>
      </c>
      <c r="S36" s="14">
        <v>0</v>
      </c>
      <c r="T36" s="16">
        <v>0</v>
      </c>
    </row>
    <row r="37" spans="1:20" x14ac:dyDescent="0.25">
      <c r="A37" s="11" t="s">
        <v>170</v>
      </c>
      <c r="B37" s="13">
        <v>2731</v>
      </c>
      <c r="C37" s="14">
        <f>(2280/B37*100)</f>
        <v>83.485902599780303</v>
      </c>
      <c r="D37" s="15">
        <v>451</v>
      </c>
      <c r="E37" s="14">
        <v>41.87811696</v>
      </c>
      <c r="F37" s="16">
        <v>1.71067338</v>
      </c>
      <c r="G37" s="14">
        <v>50.75727629</v>
      </c>
      <c r="H37" s="16">
        <v>1.66691335</v>
      </c>
      <c r="I37" s="14">
        <v>7.3646067500000001</v>
      </c>
      <c r="J37" s="16">
        <v>1.0503660500000001</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(2414/B39*100)</f>
        <v>82.164737916950301</v>
      </c>
      <c r="D39" s="15">
        <v>524</v>
      </c>
      <c r="E39" s="14">
        <v>54.238934810000003</v>
      </c>
      <c r="F39" s="16">
        <v>2.07936319</v>
      </c>
      <c r="G39" s="14">
        <v>35.850535999999998</v>
      </c>
      <c r="H39" s="16">
        <v>2.0858449299999999</v>
      </c>
      <c r="I39" s="14">
        <v>9.9105291900000001</v>
      </c>
      <c r="J39" s="16">
        <v>1.33249423</v>
      </c>
      <c r="K39" s="14" t="s">
        <v>139</v>
      </c>
      <c r="L39" s="16" t="s">
        <v>139</v>
      </c>
      <c r="M39" s="14">
        <v>0</v>
      </c>
      <c r="N39" s="16">
        <v>0</v>
      </c>
      <c r="O39" s="14">
        <v>0</v>
      </c>
      <c r="P39" s="16">
        <v>0</v>
      </c>
      <c r="Q39" s="14">
        <v>0</v>
      </c>
      <c r="R39" s="16">
        <v>0</v>
      </c>
      <c r="S39" s="14">
        <v>0</v>
      </c>
      <c r="T39" s="16">
        <v>0</v>
      </c>
    </row>
    <row r="40" spans="1:20" x14ac:dyDescent="0.25">
      <c r="A40" s="11" t="s">
        <v>173</v>
      </c>
      <c r="B40" s="13">
        <v>6922</v>
      </c>
      <c r="C40" s="14">
        <f>(5740/B40*100)</f>
        <v>82.924010401618034</v>
      </c>
      <c r="D40" s="15">
        <v>1182</v>
      </c>
      <c r="E40" s="14">
        <v>38.468469059999997</v>
      </c>
      <c r="F40" s="16">
        <v>2.3513170300000001</v>
      </c>
      <c r="G40" s="14">
        <v>52.214740190000001</v>
      </c>
      <c r="H40" s="16">
        <v>2.39368296</v>
      </c>
      <c r="I40" s="14">
        <v>9.3167907499999991</v>
      </c>
      <c r="J40" s="16">
        <v>1.4025888799999999</v>
      </c>
      <c r="K40" s="14" t="s">
        <v>139</v>
      </c>
      <c r="L40" s="16" t="s">
        <v>139</v>
      </c>
      <c r="M40" s="14">
        <v>0</v>
      </c>
      <c r="N40" s="16">
        <v>0</v>
      </c>
      <c r="O40" s="14">
        <v>0</v>
      </c>
      <c r="P40" s="16">
        <v>0</v>
      </c>
      <c r="Q40" s="14">
        <v>0</v>
      </c>
      <c r="R40" s="16">
        <v>0</v>
      </c>
      <c r="S40" s="14">
        <v>0</v>
      </c>
      <c r="T40" s="16">
        <v>0</v>
      </c>
    </row>
    <row r="41" spans="1:20" x14ac:dyDescent="0.25">
      <c r="A41" s="11" t="s">
        <v>174</v>
      </c>
      <c r="B41" s="13">
        <v>2854</v>
      </c>
      <c r="C41" s="14">
        <f>(2356/B41*100)</f>
        <v>82.550805886475118</v>
      </c>
      <c r="D41" s="15">
        <v>498</v>
      </c>
      <c r="E41" s="14">
        <v>50.919306200000001</v>
      </c>
      <c r="F41" s="16">
        <v>2.6714950100000001</v>
      </c>
      <c r="G41" s="14">
        <v>38.49261662</v>
      </c>
      <c r="H41" s="16">
        <v>2.67269991</v>
      </c>
      <c r="I41" s="14">
        <v>10.588077180000001</v>
      </c>
      <c r="J41" s="16">
        <v>1.39843304</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83.213859190561493</v>
      </c>
      <c r="D42" s="15">
        <f>IF(COUNT(D7:D41) &gt; 0, AVERAGE(D7:D41), "—")</f>
        <v>606.40625</v>
      </c>
      <c r="E42" s="14">
        <f>IF(COUNT(E7:E41) &gt; 0, AVERAGE(E7:E41), "—")</f>
        <v>41.733986923437499</v>
      </c>
      <c r="F42" s="16">
        <f>IF(COUNT(F7:F41) &gt; 0, SQRT(SUMSQ(F7:F41)/(COUNT(F7:F41)*COUNT(F7:F41)) ), "—")</f>
        <v>0.40378413955092152</v>
      </c>
      <c r="G42" s="14">
        <f>IF(COUNT(G7:G41) &gt; 0, AVERAGE(G7:G41), "—")</f>
        <v>48.830204399062502</v>
      </c>
      <c r="H42" s="16">
        <f>IF(COUNT(H7:H41) &gt; 0, SQRT(SUMSQ(H7:H41)/(COUNT(H7:H41)*COUNT(H7:H41)) ), "—")</f>
        <v>0.41149076909889265</v>
      </c>
      <c r="I42" s="14">
        <f>IF(COUNT(I7:I41) &gt; 0, AVERAGE(I7:I41), "—")</f>
        <v>9.4358086778124992</v>
      </c>
      <c r="J42" s="16">
        <f>IF(COUNT(J7:J41) &gt; 0, SQRT(SUMSQ(J7:J41)/(COUNT(J7:J41)*COUNT(J7:J41)) ), "—")</f>
        <v>0.247866657712454</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(10528/B46*100)</f>
        <v>87.2028493332229</v>
      </c>
      <c r="D46" s="15">
        <v>1545</v>
      </c>
      <c r="E46" s="14">
        <v>49.743411119999998</v>
      </c>
      <c r="F46" s="16">
        <v>1.7094746300000001</v>
      </c>
      <c r="G46" s="14">
        <v>36.29395418</v>
      </c>
      <c r="H46" s="16">
        <v>1.50850404</v>
      </c>
      <c r="I46" s="14">
        <v>13.962634700000001</v>
      </c>
      <c r="J46" s="16">
        <v>1.09852204</v>
      </c>
      <c r="K46" s="14" t="s">
        <v>139</v>
      </c>
      <c r="L46" s="16" t="s">
        <v>139</v>
      </c>
      <c r="M46" s="14">
        <v>0</v>
      </c>
      <c r="N46" s="16">
        <v>0</v>
      </c>
      <c r="O46" s="14">
        <v>0</v>
      </c>
      <c r="P46" s="16">
        <v>0</v>
      </c>
      <c r="Q46" s="14">
        <v>0</v>
      </c>
      <c r="R46" s="16">
        <v>0</v>
      </c>
      <c r="S46" s="14">
        <v>0</v>
      </c>
      <c r="T46" s="16">
        <v>0</v>
      </c>
    </row>
    <row r="47" spans="1:20" x14ac:dyDescent="0.25">
      <c r="A47" s="11" t="s">
        <v>180</v>
      </c>
      <c r="B47" s="13">
        <v>2823</v>
      </c>
      <c r="C47" s="14">
        <f>(2353/B47*100)</f>
        <v>83.351044987601838</v>
      </c>
      <c r="D47" s="15">
        <v>470</v>
      </c>
      <c r="E47" s="14">
        <v>47.967158879999999</v>
      </c>
      <c r="F47" s="16">
        <v>2.5398160000000001</v>
      </c>
      <c r="G47" s="14">
        <v>41.039867010000002</v>
      </c>
      <c r="H47" s="16">
        <v>2.14961482</v>
      </c>
      <c r="I47" s="14">
        <v>10.99297411</v>
      </c>
      <c r="J47" s="16">
        <v>1.6417048999999999</v>
      </c>
      <c r="K47" s="14" t="s">
        <v>139</v>
      </c>
      <c r="L47" s="16" t="s">
        <v>139</v>
      </c>
      <c r="M47" s="14">
        <v>0</v>
      </c>
      <c r="N47" s="16">
        <v>0</v>
      </c>
      <c r="O47" s="14">
        <v>0</v>
      </c>
      <c r="P47" s="16">
        <v>0</v>
      </c>
      <c r="Q47" s="14">
        <v>0</v>
      </c>
      <c r="R47" s="16">
        <v>0</v>
      </c>
      <c r="S47" s="14">
        <v>0</v>
      </c>
      <c r="T47" s="16">
        <v>0</v>
      </c>
    </row>
    <row r="48" spans="1:20" x14ac:dyDescent="0.25">
      <c r="A48" s="11" t="s">
        <v>181</v>
      </c>
      <c r="B48" s="13">
        <v>4682</v>
      </c>
      <c r="C48" s="14">
        <f>(3888/B48*100)</f>
        <v>83.041435284066637</v>
      </c>
      <c r="D48" s="15">
        <v>794</v>
      </c>
      <c r="E48" s="14">
        <v>45.938321770000002</v>
      </c>
      <c r="F48" s="16">
        <v>2.4726870000000001</v>
      </c>
      <c r="G48" s="14">
        <v>46.888069459999997</v>
      </c>
      <c r="H48" s="16">
        <v>2.4470567499999998</v>
      </c>
      <c r="I48" s="14">
        <v>7.1736087700000004</v>
      </c>
      <c r="J48" s="16">
        <v>1.0441459500000001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(5168/B50*100)</f>
        <v>83.923351737577136</v>
      </c>
      <c r="D50" s="15">
        <v>990</v>
      </c>
      <c r="E50" s="14">
        <v>60.695005180000003</v>
      </c>
      <c r="F50" s="16">
        <v>1.835124</v>
      </c>
      <c r="G50" s="14">
        <v>29.10563539</v>
      </c>
      <c r="H50" s="16">
        <v>1.82453113</v>
      </c>
      <c r="I50" s="14">
        <v>10.199359429999999</v>
      </c>
      <c r="J50" s="16">
        <v>1.11164427</v>
      </c>
      <c r="K50" s="14" t="s">
        <v>139</v>
      </c>
      <c r="L50" s="16" t="s">
        <v>139</v>
      </c>
      <c r="M50" s="14">
        <v>0</v>
      </c>
      <c r="N50" s="16">
        <v>0</v>
      </c>
      <c r="O50" s="14">
        <v>0</v>
      </c>
      <c r="P50" s="16">
        <v>0</v>
      </c>
      <c r="Q50" s="14">
        <v>0</v>
      </c>
      <c r="R50" s="16">
        <v>0</v>
      </c>
      <c r="S50" s="14">
        <v>0</v>
      </c>
      <c r="T50" s="16">
        <v>0</v>
      </c>
    </row>
    <row r="51" spans="1:20" x14ac:dyDescent="0.25">
      <c r="A51" s="11" t="s">
        <v>184</v>
      </c>
      <c r="B51" s="13">
        <v>3494</v>
      </c>
      <c r="C51" s="14">
        <f>(3000/B51*100)</f>
        <v>85.861476817401268</v>
      </c>
      <c r="D51" s="15">
        <v>494</v>
      </c>
      <c r="E51" s="14">
        <v>50.471095470000002</v>
      </c>
      <c r="F51" s="16">
        <v>2.16434449</v>
      </c>
      <c r="G51" s="14">
        <v>36.53604962</v>
      </c>
      <c r="H51" s="16">
        <v>1.9668581199999999</v>
      </c>
      <c r="I51" s="14">
        <v>12.992854899999999</v>
      </c>
      <c r="J51" s="16">
        <v>1.63343522</v>
      </c>
      <c r="K51" s="14" t="s">
        <v>139</v>
      </c>
      <c r="L51" s="16" t="s">
        <v>139</v>
      </c>
      <c r="M51" s="14">
        <v>0</v>
      </c>
      <c r="N51" s="16">
        <v>0</v>
      </c>
      <c r="O51" s="14">
        <v>0</v>
      </c>
      <c r="P51" s="16">
        <v>0</v>
      </c>
      <c r="Q51" s="14">
        <v>0</v>
      </c>
      <c r="R51" s="16">
        <v>0</v>
      </c>
      <c r="S51" s="14">
        <v>0</v>
      </c>
      <c r="T51" s="16">
        <v>0</v>
      </c>
    </row>
    <row r="52" spans="1:20" x14ac:dyDescent="0.25">
      <c r="A52" s="11" t="s">
        <v>185</v>
      </c>
      <c r="B52" s="13">
        <v>3013</v>
      </c>
      <c r="C52" s="14">
        <f>(2499/B52*100)</f>
        <v>82.940590773315634</v>
      </c>
      <c r="D52" s="15">
        <v>514</v>
      </c>
      <c r="E52" s="14">
        <v>37.961230100000002</v>
      </c>
      <c r="F52" s="16">
        <v>2.1305233600000002</v>
      </c>
      <c r="G52" s="14">
        <v>49.334014009999997</v>
      </c>
      <c r="H52" s="16">
        <v>2.4707837100000001</v>
      </c>
      <c r="I52" s="14">
        <v>12.704755889999999</v>
      </c>
      <c r="J52" s="16">
        <v>1.65568592</v>
      </c>
      <c r="K52" s="14" t="s">
        <v>139</v>
      </c>
      <c r="L52" s="16" t="s">
        <v>139</v>
      </c>
      <c r="M52" s="14">
        <v>0</v>
      </c>
      <c r="N52" s="16">
        <v>0</v>
      </c>
      <c r="O52" s="14">
        <v>0</v>
      </c>
      <c r="P52" s="16">
        <v>0</v>
      </c>
      <c r="Q52" s="14">
        <v>0</v>
      </c>
      <c r="R52" s="16">
        <v>0</v>
      </c>
      <c r="S52" s="14">
        <v>0</v>
      </c>
      <c r="T52" s="16">
        <v>0</v>
      </c>
    </row>
    <row r="53" spans="1:20" x14ac:dyDescent="0.25">
      <c r="A53" s="11" t="s">
        <v>186</v>
      </c>
      <c r="B53" s="13">
        <v>2760</v>
      </c>
      <c r="C53" s="14">
        <f>(2316/B53*100)</f>
        <v>83.913043478260875</v>
      </c>
      <c r="D53" s="15">
        <v>444</v>
      </c>
      <c r="E53" s="14">
        <v>50.684258</v>
      </c>
      <c r="F53" s="16">
        <v>2.42225796</v>
      </c>
      <c r="G53" s="14">
        <v>36.295191289999998</v>
      </c>
      <c r="H53" s="16">
        <v>2.44083044</v>
      </c>
      <c r="I53" s="14">
        <v>13.020550719999999</v>
      </c>
      <c r="J53" s="16">
        <v>1.9540550800000001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(2209/B56*100)</f>
        <v>82.579439252336456</v>
      </c>
      <c r="D56" s="15">
        <v>466</v>
      </c>
      <c r="E56" s="14">
        <v>40.810616199999998</v>
      </c>
      <c r="F56" s="16">
        <v>2.2293592499999999</v>
      </c>
      <c r="G56" s="14">
        <v>52.657637209999997</v>
      </c>
      <c r="H56" s="16">
        <v>2.27580597</v>
      </c>
      <c r="I56" s="14">
        <v>6.5317465800000001</v>
      </c>
      <c r="J56" s="16">
        <v>1.1546398099999999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(2653/B61*100)</f>
        <v>82.880349890659161</v>
      </c>
      <c r="D61" s="15">
        <v>548</v>
      </c>
      <c r="E61" s="14">
        <v>30.712293599999999</v>
      </c>
      <c r="F61" s="16">
        <v>1.95917786</v>
      </c>
      <c r="G61" s="14">
        <v>57.704409920000003</v>
      </c>
      <c r="H61" s="16">
        <v>2.3582146900000001</v>
      </c>
      <c r="I61" s="14">
        <v>11.58329648</v>
      </c>
      <c r="J61" s="16">
        <v>1.58106466</v>
      </c>
      <c r="K61" s="14" t="s">
        <v>139</v>
      </c>
      <c r="L61" s="16" t="s">
        <v>139</v>
      </c>
      <c r="M61" s="14">
        <v>0</v>
      </c>
      <c r="N61" s="16">
        <v>0</v>
      </c>
      <c r="O61" s="14">
        <v>0</v>
      </c>
      <c r="P61" s="16">
        <v>0</v>
      </c>
      <c r="Q61" s="14">
        <v>0</v>
      </c>
      <c r="R61" s="16">
        <v>0</v>
      </c>
      <c r="S61" s="14">
        <v>0</v>
      </c>
      <c r="T61" s="16">
        <v>0</v>
      </c>
    </row>
    <row r="62" spans="1:20" x14ac:dyDescent="0.25">
      <c r="A62" s="11" t="s">
        <v>195</v>
      </c>
      <c r="B62" s="13">
        <v>2230</v>
      </c>
      <c r="C62" s="14">
        <f>(1860/B62*100)</f>
        <v>83.408071748878925</v>
      </c>
      <c r="D62" s="15">
        <v>370</v>
      </c>
      <c r="E62" s="14">
        <v>40.257179780000001</v>
      </c>
      <c r="F62" s="16">
        <v>2.71870287</v>
      </c>
      <c r="G62" s="14">
        <v>51.868216449999998</v>
      </c>
      <c r="H62" s="16">
        <v>2.6013338400000001</v>
      </c>
      <c r="I62" s="14">
        <v>7.8746037700000002</v>
      </c>
      <c r="J62" s="16">
        <v>1.43096158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(2300/B66*100)</f>
        <v>83.002526163839775</v>
      </c>
      <c r="D66" s="15">
        <v>471</v>
      </c>
      <c r="E66" s="14">
        <v>49.589630659999997</v>
      </c>
      <c r="F66" s="16">
        <v>2.4523213500000001</v>
      </c>
      <c r="G66" s="14">
        <v>38.379874749999999</v>
      </c>
      <c r="H66" s="16">
        <v>2.19814636</v>
      </c>
      <c r="I66" s="14">
        <v>12.03049459</v>
      </c>
      <c r="J66" s="16">
        <v>1.4953265600000001</v>
      </c>
      <c r="K66" s="14" t="s">
        <v>139</v>
      </c>
      <c r="L66" s="16" t="s">
        <v>139</v>
      </c>
      <c r="M66" s="14">
        <v>0</v>
      </c>
      <c r="N66" s="16">
        <v>0</v>
      </c>
      <c r="O66" s="14">
        <v>0</v>
      </c>
      <c r="P66" s="16">
        <v>0</v>
      </c>
      <c r="Q66" s="14">
        <v>0</v>
      </c>
      <c r="R66" s="16">
        <v>0</v>
      </c>
      <c r="S66" s="14">
        <v>0</v>
      </c>
      <c r="T66" s="16">
        <v>0</v>
      </c>
    </row>
    <row r="67" spans="1:20" x14ac:dyDescent="0.25">
      <c r="A67" s="11" t="s">
        <v>200</v>
      </c>
      <c r="B67" s="13">
        <v>3460</v>
      </c>
      <c r="C67" s="14">
        <f>(2969/B67*100)</f>
        <v>85.809248554913296</v>
      </c>
      <c r="D67" s="15">
        <v>491</v>
      </c>
      <c r="E67" s="14">
        <v>66.260302190000004</v>
      </c>
      <c r="F67" s="16">
        <v>2.4973591100000001</v>
      </c>
      <c r="G67" s="14">
        <v>24.489887329999998</v>
      </c>
      <c r="H67" s="16">
        <v>1.98169135</v>
      </c>
      <c r="I67" s="14">
        <v>9.2498104800000007</v>
      </c>
      <c r="J67" s="16">
        <v>1.2976741199999999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(2579/B70*100)</f>
        <v>83.006115223688454</v>
      </c>
      <c r="D70" s="15">
        <v>528</v>
      </c>
      <c r="E70" s="14">
        <v>43.310348060000003</v>
      </c>
      <c r="F70" s="16">
        <v>2.2138696100000002</v>
      </c>
      <c r="G70" s="14">
        <v>46.226803250000003</v>
      </c>
      <c r="H70" s="16">
        <v>2.1984781</v>
      </c>
      <c r="I70" s="14">
        <v>10.4628487</v>
      </c>
      <c r="J70" s="16">
        <v>1.3717087100000001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(3156/B72*100)</f>
        <v>82.639434406912798</v>
      </c>
      <c r="D72" s="15">
        <v>663</v>
      </c>
      <c r="E72" s="14">
        <v>38.008538420000001</v>
      </c>
      <c r="F72" s="16">
        <v>1.7286133699999999</v>
      </c>
      <c r="G72" s="14">
        <v>52.897291090000003</v>
      </c>
      <c r="H72" s="16">
        <v>1.7621939600000001</v>
      </c>
      <c r="I72" s="14">
        <v>9.0941704899999998</v>
      </c>
      <c r="J72" s="16">
        <v>1.28378952</v>
      </c>
      <c r="K72" s="14" t="s">
        <v>139</v>
      </c>
      <c r="L72" s="16" t="s">
        <v>139</v>
      </c>
      <c r="M72" s="14">
        <v>0</v>
      </c>
      <c r="N72" s="16">
        <v>0</v>
      </c>
      <c r="O72" s="14">
        <v>0</v>
      </c>
      <c r="P72" s="16">
        <v>0</v>
      </c>
      <c r="Q72" s="14">
        <v>0</v>
      </c>
      <c r="R72" s="16">
        <v>0</v>
      </c>
      <c r="S72" s="14">
        <v>0</v>
      </c>
      <c r="T72" s="16">
        <v>0</v>
      </c>
    </row>
    <row r="73" spans="1:20" x14ac:dyDescent="0.25">
      <c r="A73" s="11" t="s">
        <v>206</v>
      </c>
      <c r="B73" s="13">
        <v>4652</v>
      </c>
      <c r="C73" s="14">
        <f>(3927/B73*100)</f>
        <v>84.41530524505589</v>
      </c>
      <c r="D73" s="15">
        <v>725</v>
      </c>
      <c r="E73" s="14">
        <v>57.408013670000003</v>
      </c>
      <c r="F73" s="16">
        <v>2.2612079299999999</v>
      </c>
      <c r="G73" s="14">
        <v>34.009999440000001</v>
      </c>
      <c r="H73" s="16">
        <v>2.19361637</v>
      </c>
      <c r="I73" s="14">
        <v>8.5819868899999996</v>
      </c>
      <c r="J73" s="16">
        <v>1.30737612</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(2524/B75*100)</f>
        <v>85.011788480970012</v>
      </c>
      <c r="D75" s="15">
        <v>445</v>
      </c>
      <c r="E75" s="14">
        <v>68.763677430000001</v>
      </c>
      <c r="F75" s="16">
        <v>2.09584898</v>
      </c>
      <c r="G75" s="14">
        <v>22.573094869999998</v>
      </c>
      <c r="H75" s="16">
        <v>1.91626597</v>
      </c>
      <c r="I75" s="14">
        <v>8.6632277000000002</v>
      </c>
      <c r="J75" s="16">
        <v>1.3066391799999999</v>
      </c>
      <c r="K75" s="14" t="s">
        <v>139</v>
      </c>
      <c r="L75" s="16" t="s">
        <v>139</v>
      </c>
      <c r="M75" s="14">
        <v>0</v>
      </c>
      <c r="N75" s="16">
        <v>0</v>
      </c>
      <c r="O75" s="14">
        <v>0</v>
      </c>
      <c r="P75" s="16">
        <v>0</v>
      </c>
      <c r="Q75" s="14">
        <v>0</v>
      </c>
      <c r="R75" s="16">
        <v>0</v>
      </c>
      <c r="S75" s="14">
        <v>0</v>
      </c>
      <c r="T75" s="16">
        <v>0</v>
      </c>
    </row>
    <row r="76" spans="1:20" x14ac:dyDescent="0.25">
      <c r="A76" s="11" t="s">
        <v>209</v>
      </c>
      <c r="B76" s="13">
        <v>7115</v>
      </c>
      <c r="C76" s="14">
        <f>(5913/B76*100)</f>
        <v>83.106113843991565</v>
      </c>
      <c r="D76" s="15">
        <v>1202</v>
      </c>
      <c r="E76" s="14">
        <v>46.642384909999997</v>
      </c>
      <c r="F76" s="16">
        <v>1.95445775</v>
      </c>
      <c r="G76" s="14">
        <v>39.395679039999997</v>
      </c>
      <c r="H76" s="16">
        <v>1.7787189699999999</v>
      </c>
      <c r="I76" s="14">
        <v>13.961936039999999</v>
      </c>
      <c r="J76" s="16">
        <v>1.40757015</v>
      </c>
      <c r="K76" s="14" t="s">
        <v>139</v>
      </c>
      <c r="L76" s="16" t="s">
        <v>139</v>
      </c>
      <c r="M76" s="14">
        <v>0</v>
      </c>
      <c r="N76" s="16">
        <v>0</v>
      </c>
      <c r="O76" s="14">
        <v>0</v>
      </c>
      <c r="P76" s="16">
        <v>0</v>
      </c>
      <c r="Q76" s="14">
        <v>0</v>
      </c>
      <c r="R76" s="16">
        <v>0</v>
      </c>
      <c r="S76" s="14">
        <v>0</v>
      </c>
      <c r="T76" s="16">
        <v>0</v>
      </c>
    </row>
    <row r="77" spans="1:20" x14ac:dyDescent="0.25">
      <c r="A77" s="11" t="s">
        <v>210</v>
      </c>
      <c r="B77" s="13">
        <v>3154</v>
      </c>
      <c r="C77" s="14">
        <f>(2638/B77*100)</f>
        <v>83.639822447685475</v>
      </c>
      <c r="D77" s="15">
        <v>516</v>
      </c>
      <c r="E77" s="14">
        <v>57.964571479999996</v>
      </c>
      <c r="F77" s="16">
        <v>1.9061248</v>
      </c>
      <c r="G77" s="14">
        <v>31.687011380000001</v>
      </c>
      <c r="H77" s="16">
        <v>1.9608403400000001</v>
      </c>
      <c r="I77" s="14">
        <v>10.34841713</v>
      </c>
      <c r="J77" s="16">
        <v>1.3173727500000001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(3899/B81*100)</f>
        <v>82.992762877820354</v>
      </c>
      <c r="D81" s="15">
        <v>799</v>
      </c>
      <c r="E81" s="14">
        <v>49.16589063</v>
      </c>
      <c r="F81" s="16">
        <v>2.0789967699999998</v>
      </c>
      <c r="G81" s="14">
        <v>40.767223979999997</v>
      </c>
      <c r="H81" s="16">
        <v>2.1235684500000001</v>
      </c>
      <c r="I81" s="14">
        <v>10.066885389999999</v>
      </c>
      <c r="J81" s="16">
        <v>1.2078983999999999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(5948/B7*100)</f>
        <v>83.037833310065608</v>
      </c>
      <c r="D7" s="15">
        <v>1215</v>
      </c>
      <c r="E7" s="14">
        <v>47.551171650000001</v>
      </c>
      <c r="F7" s="16">
        <v>1.6058689500000001</v>
      </c>
      <c r="G7" s="14">
        <v>52.448828349999999</v>
      </c>
      <c r="H7" s="16">
        <v>1.6058689500000001</v>
      </c>
      <c r="I7" s="14" t="s">
        <v>139</v>
      </c>
      <c r="J7" s="16" t="s">
        <v>139</v>
      </c>
      <c r="K7" s="14">
        <v>0</v>
      </c>
      <c r="L7" s="16">
        <v>0</v>
      </c>
      <c r="M7" s="14">
        <v>0</v>
      </c>
      <c r="N7" s="16">
        <v>0</v>
      </c>
      <c r="O7" s="14">
        <v>0</v>
      </c>
      <c r="P7" s="16">
        <v>0</v>
      </c>
      <c r="Q7" s="14">
        <v>0</v>
      </c>
      <c r="R7" s="16">
        <v>0</v>
      </c>
    </row>
    <row r="8" spans="1:18" x14ac:dyDescent="0.25">
      <c r="A8" s="11" t="s">
        <v>140</v>
      </c>
      <c r="B8" s="13">
        <v>3443</v>
      </c>
      <c r="C8" s="14">
        <f>(2835/B8*100)</f>
        <v>82.340981702004072</v>
      </c>
      <c r="D8" s="15">
        <v>608</v>
      </c>
      <c r="E8" s="14">
        <v>59.286015749999997</v>
      </c>
      <c r="F8" s="16">
        <v>2.43665135</v>
      </c>
      <c r="G8" s="14">
        <v>40.713984250000003</v>
      </c>
      <c r="H8" s="16">
        <v>2.43665135</v>
      </c>
      <c r="I8" s="14" t="s">
        <v>139</v>
      </c>
      <c r="J8" s="16" t="s">
        <v>139</v>
      </c>
      <c r="K8" s="14">
        <v>0</v>
      </c>
      <c r="L8" s="16">
        <v>0</v>
      </c>
      <c r="M8" s="14">
        <v>0</v>
      </c>
      <c r="N8" s="16">
        <v>0</v>
      </c>
      <c r="O8" s="14">
        <v>0</v>
      </c>
      <c r="P8" s="16">
        <v>0</v>
      </c>
      <c r="Q8" s="14">
        <v>0</v>
      </c>
      <c r="R8" s="16">
        <v>0</v>
      </c>
    </row>
    <row r="9" spans="1:18" x14ac:dyDescent="0.25">
      <c r="A9" s="11" t="s">
        <v>141</v>
      </c>
      <c r="B9" s="13">
        <v>4752</v>
      </c>
      <c r="C9" s="14">
        <f>(3984/B9*100)</f>
        <v>83.838383838383834</v>
      </c>
      <c r="D9" s="15">
        <v>768</v>
      </c>
      <c r="E9" s="14">
        <v>58.212844070000003</v>
      </c>
      <c r="F9" s="16">
        <v>2.1323078799999999</v>
      </c>
      <c r="G9" s="14">
        <v>41.787155929999997</v>
      </c>
      <c r="H9" s="16">
        <v>2.1323078799999999</v>
      </c>
      <c r="I9" s="14" t="s">
        <v>139</v>
      </c>
      <c r="J9" s="16" t="s">
        <v>139</v>
      </c>
      <c r="K9" s="14">
        <v>0</v>
      </c>
      <c r="L9" s="16">
        <v>0</v>
      </c>
      <c r="M9" s="14">
        <v>0</v>
      </c>
      <c r="N9" s="16">
        <v>0</v>
      </c>
      <c r="O9" s="14">
        <v>0</v>
      </c>
      <c r="P9" s="16">
        <v>0</v>
      </c>
      <c r="Q9" s="14">
        <v>0</v>
      </c>
      <c r="R9" s="16">
        <v>0</v>
      </c>
    </row>
    <row r="10" spans="1:18" x14ac:dyDescent="0.25">
      <c r="A10" s="11" t="s">
        <v>142</v>
      </c>
      <c r="B10" s="13">
        <v>10022</v>
      </c>
      <c r="C10" s="14">
        <f>(8323/B10*100)</f>
        <v>83.047295948912392</v>
      </c>
      <c r="D10" s="15">
        <v>1699</v>
      </c>
      <c r="E10" s="14">
        <v>45.460685220000002</v>
      </c>
      <c r="F10" s="16">
        <v>1.7230367099999999</v>
      </c>
      <c r="G10" s="14">
        <v>54.539314779999998</v>
      </c>
      <c r="H10" s="16">
        <v>1.7230367099999999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(2915/B11*100)</f>
        <v>83.285714285714292</v>
      </c>
      <c r="D11" s="15">
        <v>585</v>
      </c>
      <c r="E11" s="14">
        <v>63.168008620000002</v>
      </c>
      <c r="F11" s="16">
        <v>2.2621725600000002</v>
      </c>
      <c r="G11" s="14">
        <v>36.831991379999998</v>
      </c>
      <c r="H11" s="16">
        <v>2.2621725600000002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(2874/B12*100)</f>
        <v>83.985973115137341</v>
      </c>
      <c r="D12" s="15">
        <v>548</v>
      </c>
      <c r="E12" s="14">
        <v>54.446418860000001</v>
      </c>
      <c r="F12" s="16">
        <v>2.0480715200000001</v>
      </c>
      <c r="G12" s="14">
        <v>45.553581139999999</v>
      </c>
      <c r="H12" s="16">
        <v>2.0480715200000001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(3009/B13*100)</f>
        <v>83.53692393114936</v>
      </c>
      <c r="D13" s="15">
        <v>593</v>
      </c>
      <c r="E13" s="14">
        <v>43.03420045</v>
      </c>
      <c r="F13" s="16">
        <v>2.5057669200000001</v>
      </c>
      <c r="G13" s="14">
        <v>56.96579955</v>
      </c>
      <c r="H13" s="16">
        <v>2.5057669200000001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(2309/B14*100)</f>
        <v>82.819225251076048</v>
      </c>
      <c r="D14" s="15">
        <v>479</v>
      </c>
      <c r="E14" s="14">
        <v>62.719808239999999</v>
      </c>
      <c r="F14" s="16">
        <v>2.0180324999999999</v>
      </c>
      <c r="G14" s="14">
        <v>37.280191760000001</v>
      </c>
      <c r="H14" s="16">
        <v>2.0180324999999999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(2367/B15*100)</f>
        <v>82.675515193852604</v>
      </c>
      <c r="D15" s="15">
        <v>496</v>
      </c>
      <c r="E15" s="14">
        <v>47.475161040000003</v>
      </c>
      <c r="F15" s="16">
        <v>2.0890245799999998</v>
      </c>
      <c r="G15" s="14">
        <v>52.524838959999997</v>
      </c>
      <c r="H15" s="16">
        <v>2.0890245799999998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(2573/B16*100)</f>
        <v>82.706525233044033</v>
      </c>
      <c r="D16" s="15">
        <v>538</v>
      </c>
      <c r="E16" s="14">
        <v>52.714645300000001</v>
      </c>
      <c r="F16" s="16">
        <v>2.2251739100000001</v>
      </c>
      <c r="G16" s="14">
        <v>47.285354699999999</v>
      </c>
      <c r="H16" s="16">
        <v>2.2251739100000001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(2627/B17*100)</f>
        <v>82.170785111041596</v>
      </c>
      <c r="D17" s="15">
        <v>570</v>
      </c>
      <c r="E17" s="14">
        <v>54.924371100000002</v>
      </c>
      <c r="F17" s="16">
        <v>2.1228525399999998</v>
      </c>
      <c r="G17" s="14">
        <v>45.075628899999998</v>
      </c>
      <c r="H17" s="16">
        <v>2.1228525399999998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(2237/B18*100)</f>
        <v>82.668144863266818</v>
      </c>
      <c r="D18" s="15">
        <v>469</v>
      </c>
      <c r="E18" s="14">
        <v>64.196364130000006</v>
      </c>
      <c r="F18" s="16">
        <v>2.6534963399999998</v>
      </c>
      <c r="G18" s="14">
        <v>35.803635870000001</v>
      </c>
      <c r="H18" s="16">
        <v>2.6534963399999998</v>
      </c>
      <c r="I18" s="14" t="s">
        <v>139</v>
      </c>
      <c r="J18" s="16" t="s">
        <v>139</v>
      </c>
      <c r="K18" s="14">
        <v>0</v>
      </c>
      <c r="L18" s="16">
        <v>0</v>
      </c>
      <c r="M18" s="14">
        <v>0</v>
      </c>
      <c r="N18" s="16">
        <v>0</v>
      </c>
      <c r="O18" s="14">
        <v>0</v>
      </c>
      <c r="P18" s="16">
        <v>0</v>
      </c>
      <c r="Q18" s="14">
        <v>0</v>
      </c>
      <c r="R18" s="16">
        <v>0</v>
      </c>
    </row>
    <row r="19" spans="1:18" x14ac:dyDescent="0.25">
      <c r="A19" s="11" t="s">
        <v>151</v>
      </c>
      <c r="B19" s="13">
        <v>2850</v>
      </c>
      <c r="C19" s="14">
        <f>(2377/B19*100)</f>
        <v>83.403508771929822</v>
      </c>
      <c r="D19" s="15">
        <v>473</v>
      </c>
      <c r="E19" s="14">
        <v>55.067991550000002</v>
      </c>
      <c r="F19" s="16">
        <v>2.5140611599999998</v>
      </c>
      <c r="G19" s="14">
        <v>44.932008449999998</v>
      </c>
      <c r="H19" s="16">
        <v>2.5140611599999998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(1443/B20*100)</f>
        <v>82.883400344629521</v>
      </c>
      <c r="D20" s="15">
        <v>298</v>
      </c>
      <c r="E20" s="14">
        <v>52.628323950000002</v>
      </c>
      <c r="F20" s="16">
        <v>3.1092361099999999</v>
      </c>
      <c r="G20" s="14">
        <v>47.371676049999998</v>
      </c>
      <c r="H20" s="16">
        <v>3.1092361099999999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(3138/B22*100)</f>
        <v>85.574038723752395</v>
      </c>
      <c r="D22" s="15">
        <v>529</v>
      </c>
      <c r="E22" s="14">
        <v>67.385932650000001</v>
      </c>
      <c r="F22" s="16">
        <v>1.9697274499999999</v>
      </c>
      <c r="G22" s="14">
        <v>32.614067349999999</v>
      </c>
      <c r="H22" s="16">
        <v>1.9697274499999999</v>
      </c>
      <c r="I22" s="14" t="s">
        <v>139</v>
      </c>
      <c r="J22" s="16" t="s">
        <v>139</v>
      </c>
      <c r="K22" s="14">
        <v>0</v>
      </c>
      <c r="L22" s="16">
        <v>0</v>
      </c>
      <c r="M22" s="14">
        <v>0</v>
      </c>
      <c r="N22" s="16">
        <v>0</v>
      </c>
      <c r="O22" s="14">
        <v>0</v>
      </c>
      <c r="P22" s="16">
        <v>0</v>
      </c>
      <c r="Q22" s="14">
        <v>0</v>
      </c>
      <c r="R22" s="16">
        <v>0</v>
      </c>
    </row>
    <row r="23" spans="1:18" x14ac:dyDescent="0.25">
      <c r="A23" s="11" t="s">
        <v>156</v>
      </c>
      <c r="B23" s="13">
        <v>5792</v>
      </c>
      <c r="C23" s="14">
        <f>(4803/B23*100)</f>
        <v>82.924723756906076</v>
      </c>
      <c r="D23" s="15">
        <v>989</v>
      </c>
      <c r="E23" s="14">
        <v>58.7884089</v>
      </c>
      <c r="F23" s="16">
        <v>2.2210152000000001</v>
      </c>
      <c r="G23" s="14">
        <v>41.2115911</v>
      </c>
      <c r="H23" s="16">
        <v>2.2210152000000001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(2724/B24*100)</f>
        <v>82.320942883046229</v>
      </c>
      <c r="D24" s="15">
        <v>585</v>
      </c>
      <c r="E24" s="14">
        <v>57.886403880000003</v>
      </c>
      <c r="F24" s="16">
        <v>1.9714822599999999</v>
      </c>
      <c r="G24" s="14">
        <v>42.113596119999997</v>
      </c>
      <c r="H24" s="16">
        <v>1.9714822599999999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69.804930600000006</v>
      </c>
      <c r="F25" s="16">
        <v>2.0026628199999998</v>
      </c>
      <c r="G25" s="14">
        <v>30.195069400000001</v>
      </c>
      <c r="H25" s="16">
        <v>2.0026628199999998</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(1994/B26*100)</f>
        <v>82.430756510954936</v>
      </c>
      <c r="D26" s="15">
        <v>425</v>
      </c>
      <c r="E26" s="14">
        <v>67.779634970000004</v>
      </c>
      <c r="F26" s="16">
        <v>2.3448642</v>
      </c>
      <c r="G26" s="14">
        <v>32.220365030000004</v>
      </c>
      <c r="H26" s="16">
        <v>2.3448642</v>
      </c>
      <c r="I26" s="14" t="s">
        <v>139</v>
      </c>
      <c r="J26" s="16" t="s">
        <v>139</v>
      </c>
      <c r="K26" s="14">
        <v>0</v>
      </c>
      <c r="L26" s="16">
        <v>0</v>
      </c>
      <c r="M26" s="14">
        <v>0</v>
      </c>
      <c r="N26" s="16">
        <v>0</v>
      </c>
      <c r="O26" s="14">
        <v>0</v>
      </c>
      <c r="P26" s="16">
        <v>0</v>
      </c>
      <c r="Q26" s="14">
        <v>0</v>
      </c>
      <c r="R26" s="16">
        <v>0</v>
      </c>
    </row>
    <row r="27" spans="1:18" x14ac:dyDescent="0.25">
      <c r="A27" s="11" t="s">
        <v>160</v>
      </c>
      <c r="B27" s="13">
        <v>2683</v>
      </c>
      <c r="C27" s="14">
        <f>(2228/B27*100)</f>
        <v>83.041371598956388</v>
      </c>
      <c r="D27" s="15">
        <v>455</v>
      </c>
      <c r="E27" s="14">
        <v>63.611978180000001</v>
      </c>
      <c r="F27" s="16">
        <v>2.1151645299999999</v>
      </c>
      <c r="G27" s="14">
        <v>36.388021819999999</v>
      </c>
      <c r="H27" s="16">
        <v>2.1151645299999999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(3209/B28*100)</f>
        <v>84.380752037864852</v>
      </c>
      <c r="D28" s="15">
        <v>594</v>
      </c>
      <c r="E28" s="14">
        <v>67.659093639999995</v>
      </c>
      <c r="F28" s="16">
        <v>2.1777453599999999</v>
      </c>
      <c r="G28" s="14">
        <v>32.340906359999998</v>
      </c>
      <c r="H28" s="16">
        <v>2.1777453599999999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(2265/B29*100)</f>
        <v>83.888888888888886</v>
      </c>
      <c r="D29" s="15">
        <v>435</v>
      </c>
      <c r="E29" s="14">
        <v>54.669727360000003</v>
      </c>
      <c r="F29" s="16">
        <v>2.06628268</v>
      </c>
      <c r="G29" s="14">
        <v>45.330272639999997</v>
      </c>
      <c r="H29" s="16">
        <v>2.06628268</v>
      </c>
      <c r="I29" s="14" t="s">
        <v>139</v>
      </c>
      <c r="J29" s="16" t="s">
        <v>139</v>
      </c>
      <c r="K29" s="14">
        <v>0</v>
      </c>
      <c r="L29" s="16">
        <v>0</v>
      </c>
      <c r="M29" s="14">
        <v>0</v>
      </c>
      <c r="N29" s="16">
        <v>0</v>
      </c>
      <c r="O29" s="14">
        <v>0</v>
      </c>
      <c r="P29" s="16">
        <v>0</v>
      </c>
      <c r="Q29" s="14">
        <v>0</v>
      </c>
      <c r="R29" s="16">
        <v>0</v>
      </c>
    </row>
    <row r="30" spans="1:18" x14ac:dyDescent="0.25">
      <c r="A30" s="11" t="s">
        <v>163</v>
      </c>
      <c r="B30" s="13">
        <v>2257</v>
      </c>
      <c r="C30" s="14">
        <f>(1911/B30*100)</f>
        <v>84.669915817456797</v>
      </c>
      <c r="D30" s="15">
        <v>346</v>
      </c>
      <c r="E30" s="14">
        <v>45.791064749999997</v>
      </c>
      <c r="F30" s="16">
        <v>2.7325408200000001</v>
      </c>
      <c r="G30" s="14">
        <v>54.208935250000003</v>
      </c>
      <c r="H30" s="16">
        <v>2.7325408200000001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(2247/B31*100)</f>
        <v>83.037694013303764</v>
      </c>
      <c r="D31" s="15">
        <v>459</v>
      </c>
      <c r="E31" s="14">
        <v>56.55763348</v>
      </c>
      <c r="F31" s="16">
        <v>2.3822179700000001</v>
      </c>
      <c r="G31" s="14">
        <v>43.44236652</v>
      </c>
      <c r="H31" s="16">
        <v>2.3822179700000001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(3051/B33*100)</f>
        <v>83.566146261298286</v>
      </c>
      <c r="D33" s="15">
        <v>600</v>
      </c>
      <c r="E33" s="14">
        <v>58.22210321</v>
      </c>
      <c r="F33" s="16">
        <v>2.53563926</v>
      </c>
      <c r="G33" s="14">
        <v>41.77789679</v>
      </c>
      <c r="H33" s="16">
        <v>2.53563926</v>
      </c>
      <c r="I33" s="14" t="s">
        <v>139</v>
      </c>
      <c r="J33" s="16" t="s">
        <v>139</v>
      </c>
      <c r="K33" s="14">
        <v>0</v>
      </c>
      <c r="L33" s="16">
        <v>0</v>
      </c>
      <c r="M33" s="14">
        <v>0</v>
      </c>
      <c r="N33" s="16">
        <v>0</v>
      </c>
      <c r="O33" s="14">
        <v>0</v>
      </c>
      <c r="P33" s="16">
        <v>0</v>
      </c>
      <c r="Q33" s="14">
        <v>0</v>
      </c>
      <c r="R33" s="16">
        <v>0</v>
      </c>
    </row>
    <row r="34" spans="1:18" x14ac:dyDescent="0.25">
      <c r="A34" s="11" t="s">
        <v>167</v>
      </c>
      <c r="B34" s="13">
        <v>3035</v>
      </c>
      <c r="C34" s="14">
        <f>(2544/B34*100)</f>
        <v>83.82207578253707</v>
      </c>
      <c r="D34" s="15">
        <v>491</v>
      </c>
      <c r="E34" s="14">
        <v>62.756944820000001</v>
      </c>
      <c r="F34" s="16">
        <v>2.32687511</v>
      </c>
      <c r="G34" s="14">
        <v>37.243055179999999</v>
      </c>
      <c r="H34" s="16">
        <v>2.32687511</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(2422/B35*100)</f>
        <v>83.488452257842127</v>
      </c>
      <c r="D35" s="15">
        <v>479</v>
      </c>
      <c r="E35" s="14">
        <v>56.085555460000002</v>
      </c>
      <c r="F35" s="16">
        <v>2.63648098</v>
      </c>
      <c r="G35" s="14">
        <v>43.914444539999998</v>
      </c>
      <c r="H35" s="16">
        <v>2.63648098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(2843/B36*100)</f>
        <v>83.519388954171561</v>
      </c>
      <c r="D36" s="15">
        <v>561</v>
      </c>
      <c r="E36" s="14">
        <v>55.948170619999999</v>
      </c>
      <c r="F36" s="16">
        <v>2.4152677599999999</v>
      </c>
      <c r="G36" s="14">
        <v>44.051829380000001</v>
      </c>
      <c r="H36" s="16">
        <v>2.4152677599999999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(2280/B37*100)</f>
        <v>83.485902599780303</v>
      </c>
      <c r="D37" s="15">
        <v>451</v>
      </c>
      <c r="E37" s="14">
        <v>59.435889600000003</v>
      </c>
      <c r="F37" s="16">
        <v>2.3039646399999998</v>
      </c>
      <c r="G37" s="14">
        <v>40.564110399999997</v>
      </c>
      <c r="H37" s="16">
        <v>2.3039646399999998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(2414/B39*100)</f>
        <v>82.164737916950301</v>
      </c>
      <c r="D39" s="15">
        <v>524</v>
      </c>
      <c r="E39" s="14">
        <v>77.786884400000005</v>
      </c>
      <c r="F39" s="16">
        <v>1.8524808800000001</v>
      </c>
      <c r="G39" s="14">
        <v>22.213115599999998</v>
      </c>
      <c r="H39" s="16">
        <v>1.8524808800000001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(5740/B40*100)</f>
        <v>82.924010401618034</v>
      </c>
      <c r="D40" s="15">
        <v>1182</v>
      </c>
      <c r="E40" s="14">
        <v>48.982117379999998</v>
      </c>
      <c r="F40" s="16">
        <v>2.04210644</v>
      </c>
      <c r="G40" s="14">
        <v>51.017882620000002</v>
      </c>
      <c r="H40" s="16">
        <v>2.04210644</v>
      </c>
      <c r="I40" s="14" t="s">
        <v>139</v>
      </c>
      <c r="J40" s="16" t="s">
        <v>139</v>
      </c>
      <c r="K40" s="14">
        <v>0</v>
      </c>
      <c r="L40" s="16">
        <v>0</v>
      </c>
      <c r="M40" s="14">
        <v>0</v>
      </c>
      <c r="N40" s="16">
        <v>0</v>
      </c>
      <c r="O40" s="14">
        <v>0</v>
      </c>
      <c r="P40" s="16">
        <v>0</v>
      </c>
      <c r="Q40" s="14">
        <v>0</v>
      </c>
      <c r="R40" s="16">
        <v>0</v>
      </c>
    </row>
    <row r="41" spans="1:18" x14ac:dyDescent="0.25">
      <c r="A41" s="11" t="s">
        <v>174</v>
      </c>
      <c r="B41" s="13">
        <v>2854</v>
      </c>
      <c r="C41" s="14">
        <f>(2356/B41*100)</f>
        <v>82.550805886475118</v>
      </c>
      <c r="D41" s="15">
        <v>498</v>
      </c>
      <c r="E41" s="14">
        <v>58.866875280000002</v>
      </c>
      <c r="F41" s="16">
        <v>2.2050684399999998</v>
      </c>
      <c r="G41" s="14">
        <v>41.133124719999998</v>
      </c>
      <c r="H41" s="16">
        <v>2.2050684399999998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83.213859190561493</v>
      </c>
      <c r="D42" s="15">
        <f>IF(COUNT(D7:D41) &gt; 0, AVERAGE(D7:D41), "—")</f>
        <v>606.40625</v>
      </c>
      <c r="E42" s="14">
        <f>IF(COUNT(E7:E41) &gt; 0, AVERAGE(E7:E41), "—")</f>
        <v>57.778292472187509</v>
      </c>
      <c r="F42" s="16">
        <f>IF(COUNT(F7:F41) &gt; 0, SQRT(SUMSQ(F7:F41)/(COUNT(F7:F41)*COUNT(F7:F41)) ), "—")</f>
        <v>0.39993036119060138</v>
      </c>
      <c r="G42" s="14">
        <f>IF(COUNT(G7:G41) &gt; 0, AVERAGE(G7:G41), "—")</f>
        <v>42.221707527812491</v>
      </c>
      <c r="H42" s="16">
        <f>IF(COUNT(H7:H41) &gt; 0, SQRT(SUMSQ(H7:H41)/(COUNT(H7:H41)*COUNT(H7:H41)) ), "—")</f>
        <v>0.39993036119060138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(10528/B46*100)</f>
        <v>87.2028493332229</v>
      </c>
      <c r="D46" s="15">
        <v>1545</v>
      </c>
      <c r="E46" s="14">
        <v>68.064743780000001</v>
      </c>
      <c r="F46" s="16">
        <v>1.4856569900000001</v>
      </c>
      <c r="G46" s="14">
        <v>31.935256219999999</v>
      </c>
      <c r="H46" s="16">
        <v>1.4856569900000001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(2353/B47*100)</f>
        <v>83.351044987601838</v>
      </c>
      <c r="D47" s="15">
        <v>470</v>
      </c>
      <c r="E47" s="14">
        <v>63.8349823</v>
      </c>
      <c r="F47" s="16">
        <v>2.5032561800000002</v>
      </c>
      <c r="G47" s="14">
        <v>36.1650177</v>
      </c>
      <c r="H47" s="16">
        <v>2.5032561800000002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(3888/B48*100)</f>
        <v>83.041435284066637</v>
      </c>
      <c r="D48" s="15">
        <v>794</v>
      </c>
      <c r="E48" s="14">
        <v>67.032141920000001</v>
      </c>
      <c r="F48" s="16">
        <v>2.0337472999999999</v>
      </c>
      <c r="G48" s="14">
        <v>32.967858079999999</v>
      </c>
      <c r="H48" s="16">
        <v>2.0337472999999999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(5168/B50*100)</f>
        <v>83.923351737577136</v>
      </c>
      <c r="D50" s="15">
        <v>990</v>
      </c>
      <c r="E50" s="14">
        <v>69.082756270000004</v>
      </c>
      <c r="F50" s="16">
        <v>1.9412323300000001</v>
      </c>
      <c r="G50" s="14">
        <v>30.917243729999999</v>
      </c>
      <c r="H50" s="16">
        <v>1.9412323300000001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(3000/B51*100)</f>
        <v>85.861476817401268</v>
      </c>
      <c r="D51" s="15">
        <v>494</v>
      </c>
      <c r="E51" s="14">
        <v>69.594841290000005</v>
      </c>
      <c r="F51" s="16">
        <v>2.5133274600000002</v>
      </c>
      <c r="G51" s="14">
        <v>30.405158709999998</v>
      </c>
      <c r="H51" s="16">
        <v>2.5133274600000002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(2499/B52*100)</f>
        <v>82.940590773315634</v>
      </c>
      <c r="D52" s="15">
        <v>514</v>
      </c>
      <c r="E52" s="14">
        <v>76.558314580000001</v>
      </c>
      <c r="F52" s="16">
        <v>1.9230290299999999</v>
      </c>
      <c r="G52" s="14">
        <v>23.441685419999999</v>
      </c>
      <c r="H52" s="16">
        <v>1.9230290299999999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(2316/B53*100)</f>
        <v>83.913043478260875</v>
      </c>
      <c r="D53" s="15">
        <v>444</v>
      </c>
      <c r="E53" s="14">
        <v>65.328586189999996</v>
      </c>
      <c r="F53" s="16">
        <v>2.4026542700000002</v>
      </c>
      <c r="G53" s="14">
        <v>34.671413809999997</v>
      </c>
      <c r="H53" s="16">
        <v>2.4026542700000002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(2209/B56*100)</f>
        <v>82.579439252336456</v>
      </c>
      <c r="D56" s="15">
        <v>466</v>
      </c>
      <c r="E56" s="14">
        <v>49.507108510000002</v>
      </c>
      <c r="F56" s="16">
        <v>2.4365235799999998</v>
      </c>
      <c r="G56" s="14">
        <v>50.492891489999998</v>
      </c>
      <c r="H56" s="16">
        <v>2.4365235799999998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(2653/B61*100)</f>
        <v>82.880349890659161</v>
      </c>
      <c r="D61" s="15">
        <v>548</v>
      </c>
      <c r="E61" s="14">
        <v>71.790073109999994</v>
      </c>
      <c r="F61" s="16">
        <v>1.93476107</v>
      </c>
      <c r="G61" s="14">
        <v>28.209926889999998</v>
      </c>
      <c r="H61" s="16">
        <v>1.93476107</v>
      </c>
      <c r="I61" s="14" t="s">
        <v>139</v>
      </c>
      <c r="J61" s="16" t="s">
        <v>139</v>
      </c>
      <c r="K61" s="14">
        <v>0</v>
      </c>
      <c r="L61" s="16">
        <v>0</v>
      </c>
      <c r="M61" s="14">
        <v>0</v>
      </c>
      <c r="N61" s="16">
        <v>0</v>
      </c>
      <c r="O61" s="14">
        <v>0</v>
      </c>
      <c r="P61" s="16">
        <v>0</v>
      </c>
      <c r="Q61" s="14">
        <v>0</v>
      </c>
      <c r="R61" s="16">
        <v>0</v>
      </c>
    </row>
    <row r="62" spans="1:18" x14ac:dyDescent="0.25">
      <c r="A62" s="11" t="s">
        <v>195</v>
      </c>
      <c r="B62" s="13">
        <v>2230</v>
      </c>
      <c r="C62" s="14">
        <f>(1860/B62*100)</f>
        <v>83.408071748878925</v>
      </c>
      <c r="D62" s="15">
        <v>370</v>
      </c>
      <c r="E62" s="14">
        <v>59.21400526</v>
      </c>
      <c r="F62" s="16">
        <v>2.79077843</v>
      </c>
      <c r="G62" s="14">
        <v>40.78599474</v>
      </c>
      <c r="H62" s="16">
        <v>2.79077843</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(2300/B66*100)</f>
        <v>83.002526163839775</v>
      </c>
      <c r="D66" s="15">
        <v>471</v>
      </c>
      <c r="E66" s="14">
        <v>74.658511610000005</v>
      </c>
      <c r="F66" s="16">
        <v>1.88421218</v>
      </c>
      <c r="G66" s="14">
        <v>25.341488389999999</v>
      </c>
      <c r="H66" s="16">
        <v>1.88421218</v>
      </c>
      <c r="I66" s="14" t="s">
        <v>139</v>
      </c>
      <c r="J66" s="16" t="s">
        <v>139</v>
      </c>
      <c r="K66" s="14">
        <v>0</v>
      </c>
      <c r="L66" s="16">
        <v>0</v>
      </c>
      <c r="M66" s="14">
        <v>0</v>
      </c>
      <c r="N66" s="16">
        <v>0</v>
      </c>
      <c r="O66" s="14">
        <v>0</v>
      </c>
      <c r="P66" s="16">
        <v>0</v>
      </c>
      <c r="Q66" s="14">
        <v>0</v>
      </c>
      <c r="R66" s="16">
        <v>0</v>
      </c>
    </row>
    <row r="67" spans="1:18" x14ac:dyDescent="0.25">
      <c r="A67" s="11" t="s">
        <v>200</v>
      </c>
      <c r="B67" s="13">
        <v>3460</v>
      </c>
      <c r="C67" s="14">
        <f>(2969/B67*100)</f>
        <v>85.809248554913296</v>
      </c>
      <c r="D67" s="15">
        <v>491</v>
      </c>
      <c r="E67" s="14">
        <v>65.575103769999998</v>
      </c>
      <c r="F67" s="16">
        <v>2.29226047</v>
      </c>
      <c r="G67" s="14">
        <v>34.424896230000002</v>
      </c>
      <c r="H67" s="16">
        <v>2.29226047</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(2579/B70*100)</f>
        <v>83.006115223688454</v>
      </c>
      <c r="D70" s="15">
        <v>528</v>
      </c>
      <c r="E70" s="14">
        <v>68.279101150000002</v>
      </c>
      <c r="F70" s="16">
        <v>2.0011135000000002</v>
      </c>
      <c r="G70" s="14">
        <v>31.720898850000001</v>
      </c>
      <c r="H70" s="16">
        <v>2.0011135000000002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(3156/B72*100)</f>
        <v>82.639434406912798</v>
      </c>
      <c r="D72" s="15">
        <v>663</v>
      </c>
      <c r="E72" s="14">
        <v>59.137145009999998</v>
      </c>
      <c r="F72" s="16">
        <v>1.94764146</v>
      </c>
      <c r="G72" s="14">
        <v>40.862854990000002</v>
      </c>
      <c r="H72" s="16">
        <v>1.94764146</v>
      </c>
      <c r="I72" s="14" t="s">
        <v>139</v>
      </c>
      <c r="J72" s="16" t="s">
        <v>139</v>
      </c>
      <c r="K72" s="14">
        <v>0</v>
      </c>
      <c r="L72" s="16">
        <v>0</v>
      </c>
      <c r="M72" s="14">
        <v>0</v>
      </c>
      <c r="N72" s="16">
        <v>0</v>
      </c>
      <c r="O72" s="14">
        <v>0</v>
      </c>
      <c r="P72" s="16">
        <v>0</v>
      </c>
      <c r="Q72" s="14">
        <v>0</v>
      </c>
      <c r="R72" s="16">
        <v>0</v>
      </c>
    </row>
    <row r="73" spans="1:18" x14ac:dyDescent="0.25">
      <c r="A73" s="11" t="s">
        <v>206</v>
      </c>
      <c r="B73" s="13">
        <v>4652</v>
      </c>
      <c r="C73" s="14">
        <f>(3927/B73*100)</f>
        <v>84.41530524505589</v>
      </c>
      <c r="D73" s="15">
        <v>725</v>
      </c>
      <c r="E73" s="14">
        <v>71.994467279999995</v>
      </c>
      <c r="F73" s="16">
        <v>2.0622929600000002</v>
      </c>
      <c r="G73" s="14">
        <v>28.005532720000001</v>
      </c>
      <c r="H73" s="16">
        <v>2.0622929600000002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(2524/B75*100)</f>
        <v>85.011788480970012</v>
      </c>
      <c r="D75" s="15">
        <v>445</v>
      </c>
      <c r="E75" s="14">
        <v>68.776691900000003</v>
      </c>
      <c r="F75" s="16">
        <v>2.1813313600000002</v>
      </c>
      <c r="G75" s="14">
        <v>31.223308100000001</v>
      </c>
      <c r="H75" s="16">
        <v>2.1813313600000002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(5913/B76*100)</f>
        <v>83.106113843991565</v>
      </c>
      <c r="D76" s="15">
        <v>1202</v>
      </c>
      <c r="E76" s="14">
        <v>63.656817109999999</v>
      </c>
      <c r="F76" s="16">
        <v>1.7794570999999999</v>
      </c>
      <c r="G76" s="14">
        <v>36.343182890000001</v>
      </c>
      <c r="H76" s="16">
        <v>1.7794570999999999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(2638/B77*100)</f>
        <v>83.639822447685475</v>
      </c>
      <c r="D77" s="15">
        <v>516</v>
      </c>
      <c r="E77" s="14">
        <v>65.400605880000001</v>
      </c>
      <c r="F77" s="16">
        <v>2.0752183300000002</v>
      </c>
      <c r="G77" s="14">
        <v>34.599394119999999</v>
      </c>
      <c r="H77" s="16">
        <v>2.0752183300000002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(3899/B81*100)</f>
        <v>82.992762877820354</v>
      </c>
      <c r="D81" s="15">
        <v>799</v>
      </c>
      <c r="E81" s="14">
        <v>71.283915440000001</v>
      </c>
      <c r="F81" s="16">
        <v>2.0717882099999998</v>
      </c>
      <c r="G81" s="14">
        <v>28.716084559999999</v>
      </c>
      <c r="H81" s="16">
        <v>2.0717882099999998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(5995/B7*100)</f>
        <v>83.693982968030156</v>
      </c>
      <c r="D7" s="15">
        <v>1168</v>
      </c>
      <c r="E7" s="14">
        <v>28.664023589999999</v>
      </c>
      <c r="F7" s="16">
        <v>1.7538875599999999</v>
      </c>
      <c r="G7" s="14">
        <v>71.335976410000001</v>
      </c>
      <c r="H7" s="16">
        <v>1.7538875599999999</v>
      </c>
      <c r="I7" s="14" t="s">
        <v>139</v>
      </c>
      <c r="J7" s="16" t="s">
        <v>139</v>
      </c>
      <c r="K7" s="14">
        <v>0</v>
      </c>
      <c r="L7" s="16">
        <v>0</v>
      </c>
      <c r="M7" s="14">
        <v>0</v>
      </c>
      <c r="N7" s="16">
        <v>0</v>
      </c>
      <c r="O7" s="14">
        <v>0</v>
      </c>
      <c r="P7" s="16">
        <v>0</v>
      </c>
      <c r="Q7" s="14">
        <v>0</v>
      </c>
      <c r="R7" s="16">
        <v>0</v>
      </c>
    </row>
    <row r="8" spans="1:18" x14ac:dyDescent="0.25">
      <c r="A8" s="11" t="s">
        <v>140</v>
      </c>
      <c r="B8" s="13">
        <v>3443</v>
      </c>
      <c r="C8" s="14">
        <f>(2856/B8*100)</f>
        <v>82.950914899796686</v>
      </c>
      <c r="D8" s="15">
        <v>587</v>
      </c>
      <c r="E8" s="14">
        <v>38.003666619999997</v>
      </c>
      <c r="F8" s="16">
        <v>2.5621815300000002</v>
      </c>
      <c r="G8" s="14">
        <v>61.996333380000003</v>
      </c>
      <c r="H8" s="16">
        <v>2.5621815300000002</v>
      </c>
      <c r="I8" s="14" t="s">
        <v>139</v>
      </c>
      <c r="J8" s="16" t="s">
        <v>139</v>
      </c>
      <c r="K8" s="14">
        <v>0</v>
      </c>
      <c r="L8" s="16">
        <v>0</v>
      </c>
      <c r="M8" s="14">
        <v>0</v>
      </c>
      <c r="N8" s="16">
        <v>0</v>
      </c>
      <c r="O8" s="14">
        <v>0</v>
      </c>
      <c r="P8" s="16">
        <v>0</v>
      </c>
      <c r="Q8" s="14">
        <v>0</v>
      </c>
      <c r="R8" s="16">
        <v>0</v>
      </c>
    </row>
    <row r="9" spans="1:18" x14ac:dyDescent="0.25">
      <c r="A9" s="11" t="s">
        <v>141</v>
      </c>
      <c r="B9" s="13">
        <v>4752</v>
      </c>
      <c r="C9" s="14">
        <f>(4015/B9*100)</f>
        <v>84.490740740740748</v>
      </c>
      <c r="D9" s="15">
        <v>737</v>
      </c>
      <c r="E9" s="14">
        <v>37.856925840000002</v>
      </c>
      <c r="F9" s="16">
        <v>1.75571302</v>
      </c>
      <c r="G9" s="14">
        <v>62.143074159999998</v>
      </c>
      <c r="H9" s="16">
        <v>1.75571302</v>
      </c>
      <c r="I9" s="14" t="s">
        <v>139</v>
      </c>
      <c r="J9" s="16" t="s">
        <v>139</v>
      </c>
      <c r="K9" s="14">
        <v>0</v>
      </c>
      <c r="L9" s="16">
        <v>0</v>
      </c>
      <c r="M9" s="14">
        <v>0</v>
      </c>
      <c r="N9" s="16">
        <v>0</v>
      </c>
      <c r="O9" s="14">
        <v>0</v>
      </c>
      <c r="P9" s="16">
        <v>0</v>
      </c>
      <c r="Q9" s="14">
        <v>0</v>
      </c>
      <c r="R9" s="16">
        <v>0</v>
      </c>
    </row>
    <row r="10" spans="1:18" x14ac:dyDescent="0.25">
      <c r="A10" s="11" t="s">
        <v>142</v>
      </c>
      <c r="B10" s="13">
        <v>10022</v>
      </c>
      <c r="C10" s="14">
        <f>(8350/B10*100)</f>
        <v>83.316703252843752</v>
      </c>
      <c r="D10" s="15">
        <v>1672</v>
      </c>
      <c r="E10" s="14">
        <v>28.777628150000002</v>
      </c>
      <c r="F10" s="16">
        <v>1.5041110499999999</v>
      </c>
      <c r="G10" s="14">
        <v>71.222371850000002</v>
      </c>
      <c r="H10" s="16">
        <v>1.5041110499999999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(2951/B11*100)</f>
        <v>84.314285714285717</v>
      </c>
      <c r="D11" s="15">
        <v>549</v>
      </c>
      <c r="E11" s="14">
        <v>58.631439159999999</v>
      </c>
      <c r="F11" s="16">
        <v>2.1974466000000001</v>
      </c>
      <c r="G11" s="14">
        <v>41.368560840000001</v>
      </c>
      <c r="H11" s="16">
        <v>2.1974466000000001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(2896/B12*100)</f>
        <v>84.628872004675628</v>
      </c>
      <c r="D12" s="15">
        <v>526</v>
      </c>
      <c r="E12" s="14">
        <v>62.420133509999999</v>
      </c>
      <c r="F12" s="16">
        <v>2.3498304299999999</v>
      </c>
      <c r="G12" s="14">
        <v>37.579866490000001</v>
      </c>
      <c r="H12" s="16">
        <v>2.3498304299999999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(3034/B13*100)</f>
        <v>84.230982787340366</v>
      </c>
      <c r="D13" s="15">
        <v>568</v>
      </c>
      <c r="E13" s="14">
        <v>34.736897659999997</v>
      </c>
      <c r="F13" s="16">
        <v>2.5013161099999999</v>
      </c>
      <c r="G13" s="14">
        <v>65.263102340000003</v>
      </c>
      <c r="H13" s="16">
        <v>2.5013161099999999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(2319/B14*100)</f>
        <v>83.177905308464844</v>
      </c>
      <c r="D14" s="15">
        <v>469</v>
      </c>
      <c r="E14" s="14">
        <v>34.044102379999998</v>
      </c>
      <c r="F14" s="16">
        <v>2.3540110300000001</v>
      </c>
      <c r="G14" s="14">
        <v>65.955897620000002</v>
      </c>
      <c r="H14" s="16">
        <v>2.3540110300000001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(2378/B15*100)</f>
        <v>83.059727558505074</v>
      </c>
      <c r="D15" s="15">
        <v>485</v>
      </c>
      <c r="E15" s="14">
        <v>27.05935208</v>
      </c>
      <c r="F15" s="16">
        <v>2.14041236</v>
      </c>
      <c r="G15" s="14">
        <v>72.940647920000004</v>
      </c>
      <c r="H15" s="16">
        <v>2.14041236</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(2593/B16*100)</f>
        <v>83.349405335904862</v>
      </c>
      <c r="D16" s="15">
        <v>518</v>
      </c>
      <c r="E16" s="14">
        <v>49.269500720000003</v>
      </c>
      <c r="F16" s="16">
        <v>2.2015474899999998</v>
      </c>
      <c r="G16" s="14">
        <v>50.730499279999997</v>
      </c>
      <c r="H16" s="16">
        <v>2.2015474899999998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34.468863949999999</v>
      </c>
      <c r="F17" s="16">
        <v>2.3390345400000001</v>
      </c>
      <c r="G17" s="14">
        <v>65.531136050000001</v>
      </c>
      <c r="H17" s="16">
        <v>2.3390345400000001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(2244/B18*100)</f>
        <v>82.926829268292678</v>
      </c>
      <c r="D18" s="15">
        <v>462</v>
      </c>
      <c r="E18" s="14">
        <v>56.050637520000002</v>
      </c>
      <c r="F18" s="16">
        <v>2.2000691300000002</v>
      </c>
      <c r="G18" s="14">
        <v>43.949362479999998</v>
      </c>
      <c r="H18" s="16">
        <v>2.2000691300000002</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(2398/B19*100)</f>
        <v>84.140350877192986</v>
      </c>
      <c r="D19" s="15">
        <v>452</v>
      </c>
      <c r="E19" s="14">
        <v>56.760071009999997</v>
      </c>
      <c r="F19" s="16">
        <v>2.5394119599999998</v>
      </c>
      <c r="G19" s="14">
        <v>43.239928990000003</v>
      </c>
      <c r="H19" s="16">
        <v>2.5394119599999998</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33.170039250000002</v>
      </c>
      <c r="F20" s="16">
        <v>2.5682442000000001</v>
      </c>
      <c r="G20" s="14">
        <v>66.829960749999998</v>
      </c>
      <c r="H20" s="16">
        <v>2.5682442000000001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(3154/B22*100)</f>
        <v>86.010362694300511</v>
      </c>
      <c r="D22" s="15">
        <v>513</v>
      </c>
      <c r="E22" s="14">
        <v>54.292441920000002</v>
      </c>
      <c r="F22" s="16">
        <v>2.5749695500000001</v>
      </c>
      <c r="G22" s="14">
        <v>45.707558079999998</v>
      </c>
      <c r="H22" s="16">
        <v>2.5749695500000001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(4822/B23*100)</f>
        <v>83.252762430939228</v>
      </c>
      <c r="D23" s="15">
        <v>970</v>
      </c>
      <c r="E23" s="14">
        <v>46.866450639999996</v>
      </c>
      <c r="F23" s="16">
        <v>2.5019922700000001</v>
      </c>
      <c r="G23" s="14">
        <v>53.133549360000004</v>
      </c>
      <c r="H23" s="16">
        <v>2.5019922700000001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(2733/B24*100)</f>
        <v>82.592928377153214</v>
      </c>
      <c r="D24" s="15">
        <v>576</v>
      </c>
      <c r="E24" s="14">
        <v>23.669675869999999</v>
      </c>
      <c r="F24" s="16">
        <v>1.9685138499999999</v>
      </c>
      <c r="G24" s="14">
        <v>76.330324129999994</v>
      </c>
      <c r="H24" s="16">
        <v>1.9685138499999999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44.589353180000003</v>
      </c>
      <c r="F25" s="16">
        <v>2.45256411</v>
      </c>
      <c r="G25" s="14">
        <v>55.410646819999997</v>
      </c>
      <c r="H25" s="16">
        <v>2.45256411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(1998/B26*100)</f>
        <v>82.596114096734183</v>
      </c>
      <c r="D26" s="15">
        <v>421</v>
      </c>
      <c r="E26" s="14">
        <v>42.867598800000003</v>
      </c>
      <c r="F26" s="16">
        <v>2.5810179999999998</v>
      </c>
      <c r="G26" s="14">
        <v>57.132401199999997</v>
      </c>
      <c r="H26" s="16">
        <v>2.5810179999999998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46.61288545</v>
      </c>
      <c r="F27" s="16">
        <v>2.3335309500000001</v>
      </c>
      <c r="G27" s="14">
        <v>53.38711455</v>
      </c>
      <c r="H27" s="16">
        <v>2.3335309500000001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(3245/B28*100)</f>
        <v>85.327373126479102</v>
      </c>
      <c r="D28" s="15">
        <v>558</v>
      </c>
      <c r="E28" s="14">
        <v>67.267791579999994</v>
      </c>
      <c r="F28" s="16">
        <v>1.8702908600000001</v>
      </c>
      <c r="G28" s="14">
        <v>32.732208419999999</v>
      </c>
      <c r="H28" s="16">
        <v>1.8702908600000001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(2266/B29*100)</f>
        <v>83.925925925925924</v>
      </c>
      <c r="D29" s="15">
        <v>434</v>
      </c>
      <c r="E29" s="14">
        <v>31.688283139999999</v>
      </c>
      <c r="F29" s="16">
        <v>2.3929966299999998</v>
      </c>
      <c r="G29" s="14">
        <v>68.311716860000004</v>
      </c>
      <c r="H29" s="16">
        <v>2.3929966299999998</v>
      </c>
      <c r="I29" s="14" t="s">
        <v>139</v>
      </c>
      <c r="J29" s="16" t="s">
        <v>139</v>
      </c>
      <c r="K29" s="14">
        <v>0</v>
      </c>
      <c r="L29" s="16">
        <v>0</v>
      </c>
      <c r="M29" s="14">
        <v>0</v>
      </c>
      <c r="N29" s="16">
        <v>0</v>
      </c>
      <c r="O29" s="14">
        <v>0</v>
      </c>
      <c r="P29" s="16">
        <v>0</v>
      </c>
      <c r="Q29" s="14">
        <v>0</v>
      </c>
      <c r="R29" s="16">
        <v>0</v>
      </c>
    </row>
    <row r="30" spans="1:18" x14ac:dyDescent="0.25">
      <c r="A30" s="11" t="s">
        <v>163</v>
      </c>
      <c r="B30" s="13">
        <v>2257</v>
      </c>
      <c r="C30" s="14">
        <f>(1934/B30*100)</f>
        <v>85.688967656180765</v>
      </c>
      <c r="D30" s="15">
        <v>323</v>
      </c>
      <c r="E30" s="14">
        <v>31.42548777</v>
      </c>
      <c r="F30" s="16">
        <v>2.2480544500000001</v>
      </c>
      <c r="G30" s="14">
        <v>68.574512229999996</v>
      </c>
      <c r="H30" s="16">
        <v>2.2480544500000001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(2260/B31*100)</f>
        <v>83.518107908351809</v>
      </c>
      <c r="D31" s="15">
        <v>446</v>
      </c>
      <c r="E31" s="14">
        <v>49.02301903</v>
      </c>
      <c r="F31" s="16">
        <v>2.3837169600000001</v>
      </c>
      <c r="G31" s="14">
        <v>50.97698097</v>
      </c>
      <c r="H31" s="16">
        <v>2.3837169600000001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41.071427649999997</v>
      </c>
      <c r="F33" s="16">
        <v>2.3308765500000002</v>
      </c>
      <c r="G33" s="14">
        <v>58.928572350000003</v>
      </c>
      <c r="H33" s="16">
        <v>2.3308765500000002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(2566/B34*100)</f>
        <v>84.546952224052717</v>
      </c>
      <c r="D34" s="15">
        <v>469</v>
      </c>
      <c r="E34" s="14">
        <v>63.566022930000003</v>
      </c>
      <c r="F34" s="16">
        <v>2.0052263199999998</v>
      </c>
      <c r="G34" s="14">
        <v>36.433977069999997</v>
      </c>
      <c r="H34" s="16">
        <v>2.0052263199999998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67.300705899999997</v>
      </c>
      <c r="F35" s="16">
        <v>2.5806723800000002</v>
      </c>
      <c r="G35" s="14">
        <v>32.699294100000003</v>
      </c>
      <c r="H35" s="16">
        <v>2.5806723800000002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(2876/B36*100)</f>
        <v>84.488836662749705</v>
      </c>
      <c r="D36" s="15">
        <v>528</v>
      </c>
      <c r="E36" s="14">
        <v>48.402495780000002</v>
      </c>
      <c r="F36" s="16">
        <v>2.0422041700000002</v>
      </c>
      <c r="G36" s="14">
        <v>51.597504219999998</v>
      </c>
      <c r="H36" s="16">
        <v>2.0422041700000002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(2304/B37*100)</f>
        <v>84.364701574514839</v>
      </c>
      <c r="D37" s="15">
        <v>427</v>
      </c>
      <c r="E37" s="14">
        <v>33.3707894</v>
      </c>
      <c r="F37" s="16">
        <v>2.2704886399999999</v>
      </c>
      <c r="G37" s="14">
        <v>66.629210599999993</v>
      </c>
      <c r="H37" s="16">
        <v>2.2704886399999999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(2419/B39*100)</f>
        <v>82.334921715452694</v>
      </c>
      <c r="D39" s="15">
        <v>519</v>
      </c>
      <c r="E39" s="14">
        <v>75.231750989999995</v>
      </c>
      <c r="F39" s="16">
        <v>2.28350119</v>
      </c>
      <c r="G39" s="14">
        <v>24.768249010000002</v>
      </c>
      <c r="H39" s="16">
        <v>2.28350119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(5755/B40*100)</f>
        <v>83.140710777232016</v>
      </c>
      <c r="D40" s="15">
        <v>1167</v>
      </c>
      <c r="E40" s="14">
        <v>35.58565213</v>
      </c>
      <c r="F40" s="16">
        <v>2.2480821600000001</v>
      </c>
      <c r="G40" s="14">
        <v>64.41434787</v>
      </c>
      <c r="H40" s="16">
        <v>2.2480821600000001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(2378/B41*100)</f>
        <v>83.321653819201131</v>
      </c>
      <c r="D41" s="15">
        <v>476</v>
      </c>
      <c r="E41" s="14">
        <v>35.089129929999999</v>
      </c>
      <c r="F41" s="16">
        <v>2.3714548400000002</v>
      </c>
      <c r="G41" s="14">
        <v>64.910870070000001</v>
      </c>
      <c r="H41" s="16">
        <v>2.3714548400000002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83.765661303866892</v>
      </c>
      <c r="D42" s="15">
        <f>IF(COUNT(D7:D41) &gt; 0, AVERAGE(D7:D41), "—")</f>
        <v>587.25</v>
      </c>
      <c r="E42" s="14">
        <f>IF(COUNT(E7:E41) &gt; 0, AVERAGE(E7:E41), "—")</f>
        <v>44.307320110312482</v>
      </c>
      <c r="F42" s="16">
        <f>IF(COUNT(F7:F41) &gt; 0, SQRT(SUMSQ(F7:F41)/(COUNT(F7:F41)*COUNT(F7:F41)) ), "—")</f>
        <v>0.40274649724222183</v>
      </c>
      <c r="G42" s="14">
        <f>IF(COUNT(G7:G41) &gt; 0, AVERAGE(G7:G41), "—")</f>
        <v>55.692679889687511</v>
      </c>
      <c r="H42" s="16">
        <f>IF(COUNT(H7:H41) &gt; 0, SQRT(SUMSQ(H7:H41)/(COUNT(H7:H41)*COUNT(H7:H41)) ), "—")</f>
        <v>0.40274649724222183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(10715/B46*100)</f>
        <v>88.751760125900773</v>
      </c>
      <c r="D46" s="15">
        <v>1358</v>
      </c>
      <c r="E46" s="14">
        <v>75.356494209999994</v>
      </c>
      <c r="F46" s="16">
        <v>1.5134335000000001</v>
      </c>
      <c r="G46" s="14">
        <v>24.643505789999999</v>
      </c>
      <c r="H46" s="16">
        <v>1.5134335000000001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(2372/B47*100)</f>
        <v>84.02408784980517</v>
      </c>
      <c r="D47" s="15">
        <v>451</v>
      </c>
      <c r="E47" s="14">
        <v>55.058360180000001</v>
      </c>
      <c r="F47" s="16">
        <v>2.6239975000000002</v>
      </c>
      <c r="G47" s="14">
        <v>44.941639819999999</v>
      </c>
      <c r="H47" s="16">
        <v>2.6239975000000002</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(3905/B48*100)</f>
        <v>83.404527979495953</v>
      </c>
      <c r="D48" s="15">
        <v>777</v>
      </c>
      <c r="E48" s="14">
        <v>60.904208279999999</v>
      </c>
      <c r="F48" s="16">
        <v>2.5504515799999998</v>
      </c>
      <c r="G48" s="14">
        <v>39.095791720000001</v>
      </c>
      <c r="H48" s="16">
        <v>2.5504515799999998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(5217/B50*100)</f>
        <v>84.719064631373826</v>
      </c>
      <c r="D50" s="15">
        <v>941</v>
      </c>
      <c r="E50" s="14">
        <v>73.688130459999996</v>
      </c>
      <c r="F50" s="16">
        <v>1.8986353199999999</v>
      </c>
      <c r="G50" s="14">
        <v>26.31186954</v>
      </c>
      <c r="H50" s="16">
        <v>1.8986353199999999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(3036/B51*100)</f>
        <v>86.891814539210074</v>
      </c>
      <c r="D51" s="15">
        <v>458</v>
      </c>
      <c r="E51" s="14">
        <v>72.465480279999994</v>
      </c>
      <c r="F51" s="16">
        <v>2.00997643</v>
      </c>
      <c r="G51" s="14">
        <v>27.534519719999999</v>
      </c>
      <c r="H51" s="16">
        <v>2.00997643</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(2506/B52*100)</f>
        <v>83.172917358114844</v>
      </c>
      <c r="D52" s="15">
        <v>507</v>
      </c>
      <c r="E52" s="14">
        <v>63.993081420000003</v>
      </c>
      <c r="F52" s="16">
        <v>2.1830409799999999</v>
      </c>
      <c r="G52" s="14">
        <v>36.006918579999997</v>
      </c>
      <c r="H52" s="16">
        <v>2.1830409799999999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(2338/B53*100)</f>
        <v>84.710144927536234</v>
      </c>
      <c r="D53" s="15">
        <v>422</v>
      </c>
      <c r="E53" s="14">
        <v>55.587575129999998</v>
      </c>
      <c r="F53" s="16">
        <v>2.57573761</v>
      </c>
      <c r="G53" s="14">
        <v>44.412424870000002</v>
      </c>
      <c r="H53" s="16">
        <v>2.57573761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(2210/B56*100)</f>
        <v>82.616822429906549</v>
      </c>
      <c r="D56" s="15">
        <v>465</v>
      </c>
      <c r="E56" s="14">
        <v>41.630699489999998</v>
      </c>
      <c r="F56" s="16">
        <v>2.3043481099999998</v>
      </c>
      <c r="G56" s="14">
        <v>58.369300510000002</v>
      </c>
      <c r="H56" s="16">
        <v>2.3043481099999998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69.081649769999999</v>
      </c>
      <c r="F61" s="16">
        <v>2.06050413</v>
      </c>
      <c r="G61" s="14">
        <v>30.918350230000001</v>
      </c>
      <c r="H61" s="16">
        <v>2.06050413</v>
      </c>
      <c r="I61" s="14" t="s">
        <v>139</v>
      </c>
      <c r="J61" s="16" t="s">
        <v>139</v>
      </c>
      <c r="K61" s="14">
        <v>0</v>
      </c>
      <c r="L61" s="16">
        <v>0</v>
      </c>
      <c r="M61" s="14">
        <v>0</v>
      </c>
      <c r="N61" s="16">
        <v>0</v>
      </c>
      <c r="O61" s="14">
        <v>0</v>
      </c>
      <c r="P61" s="16">
        <v>0</v>
      </c>
      <c r="Q61" s="14">
        <v>0</v>
      </c>
      <c r="R61" s="16">
        <v>0</v>
      </c>
    </row>
    <row r="62" spans="1:18" x14ac:dyDescent="0.25">
      <c r="A62" s="11" t="s">
        <v>195</v>
      </c>
      <c r="B62" s="13">
        <v>2230</v>
      </c>
      <c r="C62" s="14">
        <f>(1871/B62*100)</f>
        <v>83.901345291479828</v>
      </c>
      <c r="D62" s="15">
        <v>359</v>
      </c>
      <c r="E62" s="14">
        <v>48.82099049</v>
      </c>
      <c r="F62" s="16">
        <v>2.3856828600000002</v>
      </c>
      <c r="G62" s="14">
        <v>51.17900951</v>
      </c>
      <c r="H62" s="16">
        <v>2.3856828600000002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(2319/B66*100)</f>
        <v>83.688199206062791</v>
      </c>
      <c r="D66" s="15">
        <v>452</v>
      </c>
      <c r="E66" s="14">
        <v>72.424370890000006</v>
      </c>
      <c r="F66" s="16">
        <v>2.2665918899999999</v>
      </c>
      <c r="G66" s="14">
        <v>27.575629110000001</v>
      </c>
      <c r="H66" s="16">
        <v>2.2665918899999999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(3015/B67*100)</f>
        <v>87.138728323699425</v>
      </c>
      <c r="D67" s="15">
        <v>445</v>
      </c>
      <c r="E67" s="14">
        <v>74.375995610000004</v>
      </c>
      <c r="F67" s="16">
        <v>2.50217468</v>
      </c>
      <c r="G67" s="14">
        <v>25.62400439</v>
      </c>
      <c r="H67" s="16">
        <v>2.50217468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(2604/B70*100)</f>
        <v>83.810749919536534</v>
      </c>
      <c r="D70" s="15">
        <v>503</v>
      </c>
      <c r="E70" s="14">
        <v>60.464319760000002</v>
      </c>
      <c r="F70" s="16">
        <v>2.61649216</v>
      </c>
      <c r="G70" s="14">
        <v>39.535680239999998</v>
      </c>
      <c r="H70" s="16">
        <v>2.61649216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(3157/B72*100)</f>
        <v>82.665619272060752</v>
      </c>
      <c r="D72" s="15">
        <v>662</v>
      </c>
      <c r="E72" s="14">
        <v>45.015275940000002</v>
      </c>
      <c r="F72" s="16">
        <v>1.7997729899999999</v>
      </c>
      <c r="G72" s="14">
        <v>54.984724059999998</v>
      </c>
      <c r="H72" s="16">
        <v>1.7997729899999999</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(3969/B73*100)</f>
        <v>85.318142734307827</v>
      </c>
      <c r="D73" s="15">
        <v>683</v>
      </c>
      <c r="E73" s="14">
        <v>72.960370310000002</v>
      </c>
      <c r="F73" s="16">
        <v>2.13790068</v>
      </c>
      <c r="G73" s="14">
        <v>27.039629690000002</v>
      </c>
      <c r="H73" s="16">
        <v>2.13790068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(2543/B75*100)</f>
        <v>85.651734590771298</v>
      </c>
      <c r="D75" s="15">
        <v>426</v>
      </c>
      <c r="E75" s="14">
        <v>70.295767299999994</v>
      </c>
      <c r="F75" s="16">
        <v>2.3171513899999998</v>
      </c>
      <c r="G75" s="14">
        <v>29.704232699999999</v>
      </c>
      <c r="H75" s="16">
        <v>2.3171513899999998</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(5922/B76*100)</f>
        <v>83.232607167955024</v>
      </c>
      <c r="D76" s="15">
        <v>1193</v>
      </c>
      <c r="E76" s="14">
        <v>71.155690960000001</v>
      </c>
      <c r="F76" s="16">
        <v>1.7409405</v>
      </c>
      <c r="G76" s="14">
        <v>28.844309039999999</v>
      </c>
      <c r="H76" s="16">
        <v>1.7409405</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(2678/B77*100)</f>
        <v>84.908053265694363</v>
      </c>
      <c r="D77" s="15">
        <v>476</v>
      </c>
      <c r="E77" s="14">
        <v>67.224752879999997</v>
      </c>
      <c r="F77" s="16">
        <v>2.2435700199999999</v>
      </c>
      <c r="G77" s="14">
        <v>32.775247120000003</v>
      </c>
      <c r="H77" s="16">
        <v>2.2435700199999999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(3914/B81*100)</f>
        <v>83.312047679863781</v>
      </c>
      <c r="D81" s="15">
        <v>784</v>
      </c>
      <c r="E81" s="14">
        <v>63.58628427</v>
      </c>
      <c r="F81" s="16">
        <v>1.8059866600000001</v>
      </c>
      <c r="G81" s="14">
        <v>36.41371573</v>
      </c>
      <c r="H81" s="16">
        <v>1.8059866600000001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(5995/B7*100)</f>
        <v>83.693982968030156</v>
      </c>
      <c r="D7" s="15">
        <v>1168</v>
      </c>
      <c r="E7" s="14">
        <v>21.873586670000002</v>
      </c>
      <c r="F7" s="16">
        <v>1.62707275</v>
      </c>
      <c r="G7" s="14">
        <v>78.126413330000005</v>
      </c>
      <c r="H7" s="16">
        <v>1.62707275</v>
      </c>
      <c r="I7" s="14" t="s">
        <v>139</v>
      </c>
      <c r="J7" s="16" t="s">
        <v>139</v>
      </c>
      <c r="K7" s="14">
        <v>0</v>
      </c>
      <c r="L7" s="16">
        <v>0</v>
      </c>
      <c r="M7" s="14">
        <v>0</v>
      </c>
      <c r="N7" s="16">
        <v>0</v>
      </c>
      <c r="O7" s="14">
        <v>0</v>
      </c>
      <c r="P7" s="16">
        <v>0</v>
      </c>
      <c r="Q7" s="14">
        <v>0</v>
      </c>
      <c r="R7" s="16">
        <v>0</v>
      </c>
    </row>
    <row r="8" spans="1:18" x14ac:dyDescent="0.25">
      <c r="A8" s="11" t="s">
        <v>140</v>
      </c>
      <c r="B8" s="13">
        <v>3443</v>
      </c>
      <c r="C8" s="14">
        <f>(2856/B8*100)</f>
        <v>82.950914899796686</v>
      </c>
      <c r="D8" s="15">
        <v>587</v>
      </c>
      <c r="E8" s="14">
        <v>21.735427430000001</v>
      </c>
      <c r="F8" s="16">
        <v>1.8182729799999999</v>
      </c>
      <c r="G8" s="14">
        <v>78.264572569999999</v>
      </c>
      <c r="H8" s="16">
        <v>1.8182729799999999</v>
      </c>
      <c r="I8" s="14" t="s">
        <v>139</v>
      </c>
      <c r="J8" s="16" t="s">
        <v>139</v>
      </c>
      <c r="K8" s="14">
        <v>0</v>
      </c>
      <c r="L8" s="16">
        <v>0</v>
      </c>
      <c r="M8" s="14">
        <v>0</v>
      </c>
      <c r="N8" s="16">
        <v>0</v>
      </c>
      <c r="O8" s="14">
        <v>0</v>
      </c>
      <c r="P8" s="16">
        <v>0</v>
      </c>
      <c r="Q8" s="14">
        <v>0</v>
      </c>
      <c r="R8" s="16">
        <v>0</v>
      </c>
    </row>
    <row r="9" spans="1:18" x14ac:dyDescent="0.25">
      <c r="A9" s="11" t="s">
        <v>141</v>
      </c>
      <c r="B9" s="13">
        <v>4752</v>
      </c>
      <c r="C9" s="14">
        <f>(4015/B9*100)</f>
        <v>84.490740740740748</v>
      </c>
      <c r="D9" s="15">
        <v>737</v>
      </c>
      <c r="E9" s="14">
        <v>24.82687348</v>
      </c>
      <c r="F9" s="16">
        <v>1.6896236099999999</v>
      </c>
      <c r="G9" s="14">
        <v>75.173126519999997</v>
      </c>
      <c r="H9" s="16">
        <v>1.6896236099999999</v>
      </c>
      <c r="I9" s="14" t="s">
        <v>139</v>
      </c>
      <c r="J9" s="16" t="s">
        <v>139</v>
      </c>
      <c r="K9" s="14">
        <v>0</v>
      </c>
      <c r="L9" s="16">
        <v>0</v>
      </c>
      <c r="M9" s="14">
        <v>0</v>
      </c>
      <c r="N9" s="16">
        <v>0</v>
      </c>
      <c r="O9" s="14">
        <v>0</v>
      </c>
      <c r="P9" s="16">
        <v>0</v>
      </c>
      <c r="Q9" s="14">
        <v>0</v>
      </c>
      <c r="R9" s="16">
        <v>0</v>
      </c>
    </row>
    <row r="10" spans="1:18" x14ac:dyDescent="0.25">
      <c r="A10" s="11" t="s">
        <v>142</v>
      </c>
      <c r="B10" s="13">
        <v>10022</v>
      </c>
      <c r="C10" s="14">
        <f>(8350/B10*100)</f>
        <v>83.316703252843752</v>
      </c>
      <c r="D10" s="15">
        <v>1672</v>
      </c>
      <c r="E10" s="14">
        <v>16.571684439999999</v>
      </c>
      <c r="F10" s="16">
        <v>1.2750606</v>
      </c>
      <c r="G10" s="14">
        <v>83.428315560000001</v>
      </c>
      <c r="H10" s="16">
        <v>1.2750606</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(2951/B11*100)</f>
        <v>84.314285714285717</v>
      </c>
      <c r="D11" s="15">
        <v>549</v>
      </c>
      <c r="E11" s="14">
        <v>24.164978959999999</v>
      </c>
      <c r="F11" s="16">
        <v>2.1779119900000001</v>
      </c>
      <c r="G11" s="14">
        <v>75.835021040000001</v>
      </c>
      <c r="H11" s="16">
        <v>2.1779119900000001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(2896/B12*100)</f>
        <v>84.628872004675628</v>
      </c>
      <c r="D12" s="15">
        <v>526</v>
      </c>
      <c r="E12" s="14">
        <v>30.095058420000001</v>
      </c>
      <c r="F12" s="16">
        <v>2.50114422</v>
      </c>
      <c r="G12" s="14">
        <v>69.904941579999999</v>
      </c>
      <c r="H12" s="16">
        <v>2.50114422</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(3034/B13*100)</f>
        <v>84.230982787340366</v>
      </c>
      <c r="D13" s="15">
        <v>568</v>
      </c>
      <c r="E13" s="14">
        <v>19.094669589999999</v>
      </c>
      <c r="F13" s="16">
        <v>1.74504127</v>
      </c>
      <c r="G13" s="14">
        <v>80.905330410000005</v>
      </c>
      <c r="H13" s="16">
        <v>1.74504127</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(2319/B14*100)</f>
        <v>83.177905308464844</v>
      </c>
      <c r="D14" s="15">
        <v>469</v>
      </c>
      <c r="E14" s="14">
        <v>14.91030559</v>
      </c>
      <c r="F14" s="16">
        <v>1.7245167100000001</v>
      </c>
      <c r="G14" s="14">
        <v>85.089694410000007</v>
      </c>
      <c r="H14" s="16">
        <v>1.7245167100000001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(2378/B15*100)</f>
        <v>83.059727558505074</v>
      </c>
      <c r="D15" s="15">
        <v>485</v>
      </c>
      <c r="E15" s="14">
        <v>15.86456604</v>
      </c>
      <c r="F15" s="16">
        <v>1.75345723</v>
      </c>
      <c r="G15" s="14">
        <v>84.13543396</v>
      </c>
      <c r="H15" s="16">
        <v>1.75345723</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(2593/B16*100)</f>
        <v>83.349405335904862</v>
      </c>
      <c r="D16" s="15">
        <v>518</v>
      </c>
      <c r="E16" s="14">
        <v>26.847182979999999</v>
      </c>
      <c r="F16" s="16">
        <v>2.00909293</v>
      </c>
      <c r="G16" s="14">
        <v>73.152817020000001</v>
      </c>
      <c r="H16" s="16">
        <v>2.00909293</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19.30665114</v>
      </c>
      <c r="F17" s="16">
        <v>1.5667937700000001</v>
      </c>
      <c r="G17" s="14">
        <v>80.69334886</v>
      </c>
      <c r="H17" s="16">
        <v>1.5667937700000001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(2244/B18*100)</f>
        <v>82.926829268292678</v>
      </c>
      <c r="D18" s="15">
        <v>462</v>
      </c>
      <c r="E18" s="14">
        <v>22.153150780000001</v>
      </c>
      <c r="F18" s="16">
        <v>2.2677472700000001</v>
      </c>
      <c r="G18" s="14">
        <v>77.846849219999996</v>
      </c>
      <c r="H18" s="16">
        <v>2.2677472700000001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(2398/B19*100)</f>
        <v>84.140350877192986</v>
      </c>
      <c r="D19" s="15">
        <v>452</v>
      </c>
      <c r="E19" s="14">
        <v>24.41850032</v>
      </c>
      <c r="F19" s="16">
        <v>1.7832455599999999</v>
      </c>
      <c r="G19" s="14">
        <v>75.581499679999993</v>
      </c>
      <c r="H19" s="16">
        <v>1.7832455599999999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26.171920719999999</v>
      </c>
      <c r="F20" s="16">
        <v>2.6481529400000001</v>
      </c>
      <c r="G20" s="14">
        <v>73.828079279999997</v>
      </c>
      <c r="H20" s="16">
        <v>2.6481529400000001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(3154/B22*100)</f>
        <v>86.010362694300511</v>
      </c>
      <c r="D22" s="15">
        <v>513</v>
      </c>
      <c r="E22" s="14">
        <v>23.816514810000001</v>
      </c>
      <c r="F22" s="16">
        <v>2.1387963000000001</v>
      </c>
      <c r="G22" s="14">
        <v>76.183485189999999</v>
      </c>
      <c r="H22" s="16">
        <v>2.1387963000000001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(4822/B23*100)</f>
        <v>83.252762430939228</v>
      </c>
      <c r="D23" s="15">
        <v>970</v>
      </c>
      <c r="E23" s="14">
        <v>22.71632413</v>
      </c>
      <c r="F23" s="16">
        <v>2.2038496799999998</v>
      </c>
      <c r="G23" s="14">
        <v>77.283675869999996</v>
      </c>
      <c r="H23" s="16">
        <v>2.2038496799999998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(2733/B24*100)</f>
        <v>82.592928377153214</v>
      </c>
      <c r="D24" s="15">
        <v>576</v>
      </c>
      <c r="E24" s="14">
        <v>19.116230130000002</v>
      </c>
      <c r="F24" s="16">
        <v>1.57057533</v>
      </c>
      <c r="G24" s="14">
        <v>80.883769869999995</v>
      </c>
      <c r="H24" s="16">
        <v>1.57057533</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8.2816716199999991</v>
      </c>
      <c r="F25" s="16">
        <v>1.18611551</v>
      </c>
      <c r="G25" s="14">
        <v>91.718328380000003</v>
      </c>
      <c r="H25" s="16">
        <v>1.18611551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(1998/B26*100)</f>
        <v>82.596114096734183</v>
      </c>
      <c r="D26" s="15">
        <v>421</v>
      </c>
      <c r="E26" s="14">
        <v>16.992143509999998</v>
      </c>
      <c r="F26" s="16">
        <v>1.6664939400000001</v>
      </c>
      <c r="G26" s="14">
        <v>83.007856489999995</v>
      </c>
      <c r="H26" s="16">
        <v>1.6664939400000001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20.90594158</v>
      </c>
      <c r="F27" s="16">
        <v>1.95774563</v>
      </c>
      <c r="G27" s="14">
        <v>79.094058419999996</v>
      </c>
      <c r="H27" s="16">
        <v>1.95774563</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(3245/B28*100)</f>
        <v>85.327373126479102</v>
      </c>
      <c r="D28" s="15">
        <v>558</v>
      </c>
      <c r="E28" s="14">
        <v>16.705077859999999</v>
      </c>
      <c r="F28" s="16">
        <v>1.7837640100000001</v>
      </c>
      <c r="G28" s="14">
        <v>83.294922139999997</v>
      </c>
      <c r="H28" s="16">
        <v>1.7837640100000001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(2266/B29*100)</f>
        <v>83.925925925925924</v>
      </c>
      <c r="D29" s="15">
        <v>434</v>
      </c>
      <c r="E29" s="14">
        <v>26.645293590000001</v>
      </c>
      <c r="F29" s="16">
        <v>2.19569802</v>
      </c>
      <c r="G29" s="14">
        <v>73.354706410000006</v>
      </c>
      <c r="H29" s="16">
        <v>2.19569802</v>
      </c>
      <c r="I29" s="14" t="s">
        <v>139</v>
      </c>
      <c r="J29" s="16" t="s">
        <v>139</v>
      </c>
      <c r="K29" s="14">
        <v>0</v>
      </c>
      <c r="L29" s="16">
        <v>0</v>
      </c>
      <c r="M29" s="14">
        <v>0</v>
      </c>
      <c r="N29" s="16">
        <v>0</v>
      </c>
      <c r="O29" s="14">
        <v>0</v>
      </c>
      <c r="P29" s="16">
        <v>0</v>
      </c>
      <c r="Q29" s="14">
        <v>0</v>
      </c>
      <c r="R29" s="16">
        <v>0</v>
      </c>
    </row>
    <row r="30" spans="1:18" x14ac:dyDescent="0.25">
      <c r="A30" s="11" t="s">
        <v>163</v>
      </c>
      <c r="B30" s="13">
        <v>2257</v>
      </c>
      <c r="C30" s="14">
        <f>(1934/B30*100)</f>
        <v>85.688967656180765</v>
      </c>
      <c r="D30" s="15">
        <v>323</v>
      </c>
      <c r="E30" s="14">
        <v>26.20972592</v>
      </c>
      <c r="F30" s="16">
        <v>2.2894386600000001</v>
      </c>
      <c r="G30" s="14">
        <v>73.790274080000003</v>
      </c>
      <c r="H30" s="16">
        <v>2.2894386600000001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(2260/B31*100)</f>
        <v>83.518107908351809</v>
      </c>
      <c r="D31" s="15">
        <v>446</v>
      </c>
      <c r="E31" s="14">
        <v>17.464044600000001</v>
      </c>
      <c r="F31" s="16">
        <v>1.5391818500000001</v>
      </c>
      <c r="G31" s="14">
        <v>82.535955400000006</v>
      </c>
      <c r="H31" s="16">
        <v>1.5391818500000001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16.968575909999998</v>
      </c>
      <c r="F33" s="16">
        <v>1.9181396500000001</v>
      </c>
      <c r="G33" s="14">
        <v>83.031424090000002</v>
      </c>
      <c r="H33" s="16">
        <v>1.9181396500000001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(2566/B34*100)</f>
        <v>84.546952224052717</v>
      </c>
      <c r="D34" s="15">
        <v>469</v>
      </c>
      <c r="E34" s="14">
        <v>27.958588030000001</v>
      </c>
      <c r="F34" s="16">
        <v>2.0558899300000002</v>
      </c>
      <c r="G34" s="14">
        <v>72.041411969999999</v>
      </c>
      <c r="H34" s="16">
        <v>2.0558899300000002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13.3767649</v>
      </c>
      <c r="F35" s="16">
        <v>1.7763657500000001</v>
      </c>
      <c r="G35" s="14">
        <v>86.623235100000002</v>
      </c>
      <c r="H35" s="16">
        <v>1.7763657500000001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(2876/B36*100)</f>
        <v>84.488836662749705</v>
      </c>
      <c r="D36" s="15">
        <v>528</v>
      </c>
      <c r="E36" s="14">
        <v>30.412512530000001</v>
      </c>
      <c r="F36" s="16">
        <v>2.0953358799999999</v>
      </c>
      <c r="G36" s="14">
        <v>69.587487469999999</v>
      </c>
      <c r="H36" s="16">
        <v>2.0953358799999999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(2304/B37*100)</f>
        <v>84.364701574514839</v>
      </c>
      <c r="D37" s="15">
        <v>427</v>
      </c>
      <c r="E37" s="14">
        <v>21.971000270000001</v>
      </c>
      <c r="F37" s="16">
        <v>2.0001246799999999</v>
      </c>
      <c r="G37" s="14">
        <v>78.028999729999995</v>
      </c>
      <c r="H37" s="16">
        <v>2.0001246799999999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(2419/B39*100)</f>
        <v>82.334921715452694</v>
      </c>
      <c r="D39" s="15">
        <v>519</v>
      </c>
      <c r="E39" s="14">
        <v>27.99801248</v>
      </c>
      <c r="F39" s="16">
        <v>2.0578558899999999</v>
      </c>
      <c r="G39" s="14">
        <v>72.00198752</v>
      </c>
      <c r="H39" s="16">
        <v>2.0578558899999999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(5755/B40*100)</f>
        <v>83.140710777232016</v>
      </c>
      <c r="D40" s="15">
        <v>1167</v>
      </c>
      <c r="E40" s="14">
        <v>23.476692419999999</v>
      </c>
      <c r="F40" s="16">
        <v>1.68430857</v>
      </c>
      <c r="G40" s="14">
        <v>76.523307579999994</v>
      </c>
      <c r="H40" s="16">
        <v>1.68430857</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(2378/B41*100)</f>
        <v>83.321653819201131</v>
      </c>
      <c r="D41" s="15">
        <v>476</v>
      </c>
      <c r="E41" s="14">
        <v>23.804774569999999</v>
      </c>
      <c r="F41" s="16">
        <v>2.10543682</v>
      </c>
      <c r="G41" s="14">
        <v>76.195225429999994</v>
      </c>
      <c r="H41" s="16">
        <v>2.10543682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83.765661303866892</v>
      </c>
      <c r="D42" s="15">
        <f>IF(COUNT(D7:D41) &gt; 0, AVERAGE(D7:D41), "—")</f>
        <v>587.25</v>
      </c>
      <c r="E42" s="14">
        <f>IF(COUNT(E7:E41) &gt; 0, AVERAGE(E7:E41), "—")</f>
        <v>21.651701419374994</v>
      </c>
      <c r="F42" s="16">
        <f>IF(COUNT(F7:F41) &gt; 0, SQRT(SUMSQ(F7:F41)/(COUNT(F7:F41)*COUNT(F7:F41)) ), "—")</f>
        <v>0.34066635281445135</v>
      </c>
      <c r="G42" s="14">
        <f>IF(COUNT(G7:G41) &gt; 0, AVERAGE(G7:G41), "—")</f>
        <v>78.348298580624999</v>
      </c>
      <c r="H42" s="16">
        <f>IF(COUNT(H7:H41) &gt; 0, SQRT(SUMSQ(H7:H41)/(COUNT(H7:H41)*COUNT(H7:H41)) ), "—")</f>
        <v>0.34066635281445135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(10715/B46*100)</f>
        <v>88.751760125900773</v>
      </c>
      <c r="D46" s="15">
        <v>1358</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2823</v>
      </c>
      <c r="C47" s="14">
        <f>(2372/B47*100)</f>
        <v>84.02408784980517</v>
      </c>
      <c r="D47" s="15">
        <v>451</v>
      </c>
      <c r="E47" s="14">
        <v>20.501782479999999</v>
      </c>
      <c r="F47" s="16">
        <v>1.9535084300000001</v>
      </c>
      <c r="G47" s="14">
        <v>79.498217519999997</v>
      </c>
      <c r="H47" s="16">
        <v>1.9535084300000001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(3905/B48*100)</f>
        <v>83.404527979495953</v>
      </c>
      <c r="D48" s="15">
        <v>777</v>
      </c>
      <c r="E48" s="14">
        <v>17.649338650000001</v>
      </c>
      <c r="F48" s="16">
        <v>1.5331407100000001</v>
      </c>
      <c r="G48" s="14">
        <v>82.350661349999996</v>
      </c>
      <c r="H48" s="16">
        <v>1.5331407100000001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(5217/B50*100)</f>
        <v>84.719064631373826</v>
      </c>
      <c r="D50" s="15">
        <v>941</v>
      </c>
      <c r="E50" s="14">
        <v>31.351594899999998</v>
      </c>
      <c r="F50" s="16">
        <v>2.0783238700000002</v>
      </c>
      <c r="G50" s="14">
        <v>68.648405100000005</v>
      </c>
      <c r="H50" s="16">
        <v>2.0783238700000002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(3036/B51*100)</f>
        <v>86.891814539210074</v>
      </c>
      <c r="D51" s="15">
        <v>458</v>
      </c>
      <c r="E51" s="14">
        <v>27.283643049999998</v>
      </c>
      <c r="F51" s="16">
        <v>2.13780847</v>
      </c>
      <c r="G51" s="14">
        <v>72.716356950000005</v>
      </c>
      <c r="H51" s="16">
        <v>2.13780847</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(2506/B52*100)</f>
        <v>83.172917358114844</v>
      </c>
      <c r="D52" s="15">
        <v>507</v>
      </c>
      <c r="E52" s="14">
        <v>29.39460175</v>
      </c>
      <c r="F52" s="16">
        <v>2.1773495700000001</v>
      </c>
      <c r="G52" s="14">
        <v>70.605398249999993</v>
      </c>
      <c r="H52" s="16">
        <v>2.1773495700000001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(2338/B53*100)</f>
        <v>84.710144927536234</v>
      </c>
      <c r="D53" s="15">
        <v>422</v>
      </c>
      <c r="E53" s="14">
        <v>23.520935909999999</v>
      </c>
      <c r="F53" s="16">
        <v>2.1865742199999998</v>
      </c>
      <c r="G53" s="14">
        <v>76.479064089999994</v>
      </c>
      <c r="H53" s="16">
        <v>2.1865742199999998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(2210/B56*100)</f>
        <v>82.616822429906549</v>
      </c>
      <c r="D56" s="15">
        <v>465</v>
      </c>
      <c r="E56" s="14">
        <v>13.22651055</v>
      </c>
      <c r="F56" s="16">
        <v>1.47384081</v>
      </c>
      <c r="G56" s="14">
        <v>86.77348945</v>
      </c>
      <c r="H56" s="16">
        <v>1.47384081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24.749035960000001</v>
      </c>
      <c r="F61" s="16">
        <v>2.1944534600000001</v>
      </c>
      <c r="G61" s="14">
        <v>75.250964039999999</v>
      </c>
      <c r="H61" s="16">
        <v>2.1944534600000001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(1871/B62*100)</f>
        <v>83.901345291479828</v>
      </c>
      <c r="D62" s="15">
        <v>359</v>
      </c>
      <c r="E62" s="14">
        <v>8.6957200799999992</v>
      </c>
      <c r="F62" s="16">
        <v>1.4855663299999999</v>
      </c>
      <c r="G62" s="14">
        <v>91.304279919999999</v>
      </c>
      <c r="H62" s="16">
        <v>1.4855663299999999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(2319/B66*100)</f>
        <v>83.688199206062791</v>
      </c>
      <c r="D66" s="15">
        <v>452</v>
      </c>
      <c r="E66" s="14">
        <v>22.280704029999999</v>
      </c>
      <c r="F66" s="16">
        <v>1.9601994300000001</v>
      </c>
      <c r="G66" s="14">
        <v>77.719295970000005</v>
      </c>
      <c r="H66" s="16">
        <v>1.9601994300000001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(3015/B67*100)</f>
        <v>87.138728323699425</v>
      </c>
      <c r="D67" s="15">
        <v>445</v>
      </c>
      <c r="E67" s="14">
        <v>31.860684030000002</v>
      </c>
      <c r="F67" s="16">
        <v>2.3998649699999999</v>
      </c>
      <c r="G67" s="14">
        <v>68.139315969999998</v>
      </c>
      <c r="H67" s="16">
        <v>2.3998649699999999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(2604/B70*100)</f>
        <v>83.810749919536534</v>
      </c>
      <c r="D70" s="15">
        <v>503</v>
      </c>
      <c r="E70" s="14">
        <v>22.523379970000001</v>
      </c>
      <c r="F70" s="16">
        <v>2.04500057</v>
      </c>
      <c r="G70" s="14">
        <v>77.476620030000007</v>
      </c>
      <c r="H70" s="16">
        <v>2.04500057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(3157/B72*100)</f>
        <v>82.665619272060752</v>
      </c>
      <c r="D72" s="15">
        <v>662</v>
      </c>
      <c r="E72" s="14">
        <v>16.14700586</v>
      </c>
      <c r="F72" s="16">
        <v>1.62380697</v>
      </c>
      <c r="G72" s="14">
        <v>83.852994140000007</v>
      </c>
      <c r="H72" s="16">
        <v>1.62380697</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(3969/B73*100)</f>
        <v>85.318142734307827</v>
      </c>
      <c r="D73" s="15">
        <v>683</v>
      </c>
      <c r="E73" s="14">
        <v>48.654778749999998</v>
      </c>
      <c r="F73" s="16">
        <v>1.97105324</v>
      </c>
      <c r="G73" s="14">
        <v>51.345221250000002</v>
      </c>
      <c r="H73" s="16">
        <v>1.97105324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(2543/B75*100)</f>
        <v>85.651734590771298</v>
      </c>
      <c r="D75" s="15">
        <v>426</v>
      </c>
      <c r="E75" s="14">
        <v>29.176532989999998</v>
      </c>
      <c r="F75" s="16">
        <v>2.28723622</v>
      </c>
      <c r="G75" s="14">
        <v>70.823467010000002</v>
      </c>
      <c r="H75" s="16">
        <v>2.28723622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(5922/B76*100)</f>
        <v>83.232607167955024</v>
      </c>
      <c r="D76" s="15">
        <v>1193</v>
      </c>
      <c r="E76" s="14">
        <v>37.148950669999998</v>
      </c>
      <c r="F76" s="16">
        <v>2.02607961</v>
      </c>
      <c r="G76" s="14">
        <v>62.851049330000002</v>
      </c>
      <c r="H76" s="16">
        <v>2.02607961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(2678/B77*100)</f>
        <v>84.908053265694363</v>
      </c>
      <c r="D77" s="15">
        <v>476</v>
      </c>
      <c r="E77" s="14">
        <v>30.313252909999999</v>
      </c>
      <c r="F77" s="16">
        <v>2.1276142</v>
      </c>
      <c r="G77" s="14">
        <v>69.686747089999997</v>
      </c>
      <c r="H77" s="16">
        <v>2.1276142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(3914/B81*100)</f>
        <v>83.312047679863781</v>
      </c>
      <c r="D81" s="15">
        <v>784</v>
      </c>
      <c r="E81" s="14">
        <v>34.73203264</v>
      </c>
      <c r="F81" s="16">
        <v>2.1632791400000002</v>
      </c>
      <c r="G81" s="14">
        <v>65.26796736</v>
      </c>
      <c r="H81" s="16">
        <v>2.1632791400000002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(5995/B7*100)</f>
        <v>83.693982968030156</v>
      </c>
      <c r="D7" s="15">
        <v>1168</v>
      </c>
      <c r="E7" s="14">
        <v>89.550073940000004</v>
      </c>
      <c r="F7" s="16">
        <v>1.14217485</v>
      </c>
      <c r="G7" s="14">
        <v>10.449926059999999</v>
      </c>
      <c r="H7" s="16">
        <v>1.14217485</v>
      </c>
      <c r="I7" s="14" t="s">
        <v>139</v>
      </c>
      <c r="J7" s="16" t="s">
        <v>139</v>
      </c>
      <c r="K7" s="14">
        <v>0</v>
      </c>
      <c r="L7" s="16">
        <v>0</v>
      </c>
      <c r="M7" s="14">
        <v>0</v>
      </c>
      <c r="N7" s="16">
        <v>0</v>
      </c>
      <c r="O7" s="14">
        <v>0</v>
      </c>
      <c r="P7" s="16">
        <v>0</v>
      </c>
      <c r="Q7" s="14">
        <v>0</v>
      </c>
      <c r="R7" s="16">
        <v>0</v>
      </c>
    </row>
    <row r="8" spans="1:18" x14ac:dyDescent="0.25">
      <c r="A8" s="11" t="s">
        <v>140</v>
      </c>
      <c r="B8" s="13">
        <v>3443</v>
      </c>
      <c r="C8" s="14">
        <f>(2856/B8*100)</f>
        <v>82.950914899796686</v>
      </c>
      <c r="D8" s="15">
        <v>587</v>
      </c>
      <c r="E8" s="14">
        <v>93.720553440000003</v>
      </c>
      <c r="F8" s="16">
        <v>1.06173461</v>
      </c>
      <c r="G8" s="14">
        <v>6.2794465600000002</v>
      </c>
      <c r="H8" s="16">
        <v>1.06173461</v>
      </c>
      <c r="I8" s="14" t="s">
        <v>139</v>
      </c>
      <c r="J8" s="16" t="s">
        <v>139</v>
      </c>
      <c r="K8" s="14">
        <v>0</v>
      </c>
      <c r="L8" s="16">
        <v>0</v>
      </c>
      <c r="M8" s="14">
        <v>0</v>
      </c>
      <c r="N8" s="16">
        <v>0</v>
      </c>
      <c r="O8" s="14">
        <v>0</v>
      </c>
      <c r="P8" s="16">
        <v>0</v>
      </c>
      <c r="Q8" s="14">
        <v>0</v>
      </c>
      <c r="R8" s="16">
        <v>0</v>
      </c>
    </row>
    <row r="9" spans="1:18" x14ac:dyDescent="0.25">
      <c r="A9" s="11" t="s">
        <v>141</v>
      </c>
      <c r="B9" s="13">
        <v>4752</v>
      </c>
      <c r="C9" s="14">
        <f>(4015/B9*100)</f>
        <v>84.490740740740748</v>
      </c>
      <c r="D9" s="15">
        <v>737</v>
      </c>
      <c r="E9" s="14">
        <v>91.561961269999998</v>
      </c>
      <c r="F9" s="16">
        <v>0.99803945000000005</v>
      </c>
      <c r="G9" s="14">
        <v>8.4380387300000006</v>
      </c>
      <c r="H9" s="16">
        <v>0.99803945000000005</v>
      </c>
      <c r="I9" s="14" t="s">
        <v>139</v>
      </c>
      <c r="J9" s="16" t="s">
        <v>139</v>
      </c>
      <c r="K9" s="14">
        <v>0</v>
      </c>
      <c r="L9" s="16">
        <v>0</v>
      </c>
      <c r="M9" s="14">
        <v>0</v>
      </c>
      <c r="N9" s="16">
        <v>0</v>
      </c>
      <c r="O9" s="14">
        <v>0</v>
      </c>
      <c r="P9" s="16">
        <v>0</v>
      </c>
      <c r="Q9" s="14">
        <v>0</v>
      </c>
      <c r="R9" s="16">
        <v>0</v>
      </c>
    </row>
    <row r="10" spans="1:18" x14ac:dyDescent="0.25">
      <c r="A10" s="11" t="s">
        <v>142</v>
      </c>
      <c r="B10" s="13">
        <v>10022</v>
      </c>
      <c r="C10" s="14">
        <f>(8350/B10*100)</f>
        <v>83.316703252843752</v>
      </c>
      <c r="D10" s="15">
        <v>1672</v>
      </c>
      <c r="E10" s="14">
        <v>87.719386929999999</v>
      </c>
      <c r="F10" s="16">
        <v>1.0943929100000001</v>
      </c>
      <c r="G10" s="14">
        <v>12.280613069999999</v>
      </c>
      <c r="H10" s="16">
        <v>1.0943929100000001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(2951/B11*100)</f>
        <v>84.314285714285717</v>
      </c>
      <c r="D11" s="15">
        <v>549</v>
      </c>
      <c r="E11" s="14">
        <v>92.223060489999995</v>
      </c>
      <c r="F11" s="16">
        <v>1.0973273699999999</v>
      </c>
      <c r="G11" s="14">
        <v>7.7769395100000001</v>
      </c>
      <c r="H11" s="16">
        <v>1.0973273699999999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(2896/B12*100)</f>
        <v>84.628872004675628</v>
      </c>
      <c r="D12" s="15">
        <v>526</v>
      </c>
      <c r="E12" s="14">
        <v>94.788033339999998</v>
      </c>
      <c r="F12" s="16">
        <v>1.12425021</v>
      </c>
      <c r="G12" s="14">
        <v>5.2119666599999999</v>
      </c>
      <c r="H12" s="16">
        <v>1.12425021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(3034/B13*100)</f>
        <v>84.230982787340366</v>
      </c>
      <c r="D13" s="15">
        <v>568</v>
      </c>
      <c r="E13" s="14">
        <v>94.02537753</v>
      </c>
      <c r="F13" s="16">
        <v>1.07845466</v>
      </c>
      <c r="G13" s="14">
        <v>5.9746224699999999</v>
      </c>
      <c r="H13" s="16">
        <v>1.07845466</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(2319/B14*100)</f>
        <v>83.177905308464844</v>
      </c>
      <c r="D14" s="15">
        <v>469</v>
      </c>
      <c r="E14" s="14">
        <v>93.269669829999998</v>
      </c>
      <c r="F14" s="16">
        <v>1.4928144299999999</v>
      </c>
      <c r="G14" s="14">
        <v>6.7303301700000002</v>
      </c>
      <c r="H14" s="16">
        <v>1.4928144299999999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(2378/B15*100)</f>
        <v>83.059727558505074</v>
      </c>
      <c r="D15" s="15">
        <v>485</v>
      </c>
      <c r="E15" s="14">
        <v>93.002903189999998</v>
      </c>
      <c r="F15" s="16">
        <v>1.1653309700000001</v>
      </c>
      <c r="G15" s="14">
        <v>6.9970968100000004</v>
      </c>
      <c r="H15" s="16">
        <v>1.1653309700000001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(2593/B16*100)</f>
        <v>83.349405335904862</v>
      </c>
      <c r="D16" s="15">
        <v>518</v>
      </c>
      <c r="E16" s="14">
        <v>91.751988150000003</v>
      </c>
      <c r="F16" s="16">
        <v>1.23429835</v>
      </c>
      <c r="G16" s="14">
        <v>8.2480118499999993</v>
      </c>
      <c r="H16" s="16">
        <v>1.23429835</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95.825833959999997</v>
      </c>
      <c r="F17" s="16">
        <v>0.89728163999999999</v>
      </c>
      <c r="G17" s="14">
        <v>4.1741660400000002</v>
      </c>
      <c r="H17" s="16">
        <v>0.89728163999999999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(2244/B18*100)</f>
        <v>82.926829268292678</v>
      </c>
      <c r="D18" s="15">
        <v>462</v>
      </c>
      <c r="E18" s="14">
        <v>92.038573850000006</v>
      </c>
      <c r="F18" s="16">
        <v>1.4286118000000001</v>
      </c>
      <c r="G18" s="14">
        <v>7.9614261500000003</v>
      </c>
      <c r="H18" s="16">
        <v>1.4286118000000001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(2398/B19*100)</f>
        <v>84.140350877192986</v>
      </c>
      <c r="D19" s="15">
        <v>452</v>
      </c>
      <c r="E19" s="14">
        <v>91.559085280000005</v>
      </c>
      <c r="F19" s="16">
        <v>1.3313091100000001</v>
      </c>
      <c r="G19" s="14">
        <v>8.4409147200000003</v>
      </c>
      <c r="H19" s="16">
        <v>1.3313091100000001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92.992254389999999</v>
      </c>
      <c r="F20" s="16">
        <v>1.5546796899999999</v>
      </c>
      <c r="G20" s="14">
        <v>7.0077456099999997</v>
      </c>
      <c r="H20" s="16">
        <v>1.5546796899999999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(3154/B22*100)</f>
        <v>86.010362694300511</v>
      </c>
      <c r="D22" s="15">
        <v>513</v>
      </c>
      <c r="E22" s="14">
        <v>94.007383419999996</v>
      </c>
      <c r="F22" s="16">
        <v>1.16369218</v>
      </c>
      <c r="G22" s="14">
        <v>5.99261658</v>
      </c>
      <c r="H22" s="16">
        <v>1.16369218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(4822/B23*100)</f>
        <v>83.252762430939228</v>
      </c>
      <c r="D23" s="15">
        <v>970</v>
      </c>
      <c r="E23" s="14">
        <v>92.491067740000005</v>
      </c>
      <c r="F23" s="16">
        <v>0.93087262999999998</v>
      </c>
      <c r="G23" s="14">
        <v>7.5089322599999999</v>
      </c>
      <c r="H23" s="16">
        <v>0.93087262999999998</v>
      </c>
      <c r="I23" s="14" t="s">
        <v>139</v>
      </c>
      <c r="J23" s="16" t="s">
        <v>139</v>
      </c>
      <c r="K23" s="14">
        <v>0</v>
      </c>
      <c r="L23" s="16">
        <v>0</v>
      </c>
      <c r="M23" s="14">
        <v>0</v>
      </c>
      <c r="N23" s="16">
        <v>0</v>
      </c>
      <c r="O23" s="14">
        <v>0</v>
      </c>
      <c r="P23" s="16">
        <v>0</v>
      </c>
      <c r="Q23" s="14">
        <v>0</v>
      </c>
      <c r="R23" s="16">
        <v>0</v>
      </c>
    </row>
    <row r="24" spans="1:18" x14ac:dyDescent="0.25">
      <c r="A24" s="11" t="s">
        <v>157</v>
      </c>
      <c r="B24" s="13">
        <v>3309</v>
      </c>
      <c r="C24" s="14">
        <f>(2733/B24*100)</f>
        <v>82.592928377153214</v>
      </c>
      <c r="D24" s="15">
        <v>576</v>
      </c>
      <c r="E24" s="14">
        <v>92.185676619999995</v>
      </c>
      <c r="F24" s="16">
        <v>1.09649719</v>
      </c>
      <c r="G24" s="14">
        <v>7.8143233800000003</v>
      </c>
      <c r="H24" s="16">
        <v>1.09649719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90.254766770000003</v>
      </c>
      <c r="F25" s="16">
        <v>1.42502336</v>
      </c>
      <c r="G25" s="14">
        <v>9.7452332300000002</v>
      </c>
      <c r="H25" s="16">
        <v>1.42502336</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(1998/B26*100)</f>
        <v>82.596114096734183</v>
      </c>
      <c r="D26" s="15">
        <v>421</v>
      </c>
      <c r="E26" s="14">
        <v>92.319959859999997</v>
      </c>
      <c r="F26" s="16">
        <v>1.35943437</v>
      </c>
      <c r="G26" s="14">
        <v>7.68004014</v>
      </c>
      <c r="H26" s="16">
        <v>1.35943437</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93.03316873</v>
      </c>
      <c r="F27" s="16">
        <v>1.3569908100000001</v>
      </c>
      <c r="G27" s="14">
        <v>6.9668312700000001</v>
      </c>
      <c r="H27" s="16">
        <v>1.3569908100000001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(3245/B28*100)</f>
        <v>85.327373126479102</v>
      </c>
      <c r="D28" s="15">
        <v>558</v>
      </c>
      <c r="E28" s="14">
        <v>93.084238819999996</v>
      </c>
      <c r="F28" s="16">
        <v>1.0121876700000001</v>
      </c>
      <c r="G28" s="14">
        <v>6.9157611799999996</v>
      </c>
      <c r="H28" s="16">
        <v>1.0121876700000001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(2266/B29*100)</f>
        <v>83.925925925925924</v>
      </c>
      <c r="D29" s="15">
        <v>434</v>
      </c>
      <c r="E29" s="14">
        <v>92.58297039</v>
      </c>
      <c r="F29" s="16">
        <v>1.32867121</v>
      </c>
      <c r="G29" s="14">
        <v>7.4170296100000002</v>
      </c>
      <c r="H29" s="16">
        <v>1.32867121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(1934/B30*100)</f>
        <v>85.688967656180765</v>
      </c>
      <c r="D30" s="15">
        <v>323</v>
      </c>
      <c r="E30" s="14">
        <v>88.902938289999994</v>
      </c>
      <c r="F30" s="16">
        <v>1.56968657</v>
      </c>
      <c r="G30" s="14">
        <v>11.09706171</v>
      </c>
      <c r="H30" s="16">
        <v>1.56968657</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(2260/B31*100)</f>
        <v>83.518107908351809</v>
      </c>
      <c r="D31" s="15">
        <v>446</v>
      </c>
      <c r="E31" s="14">
        <v>92.747793810000005</v>
      </c>
      <c r="F31" s="16">
        <v>1.1286667100000001</v>
      </c>
      <c r="G31" s="14">
        <v>7.2522061899999999</v>
      </c>
      <c r="H31" s="16">
        <v>1.1286667100000001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91.477181619999996</v>
      </c>
      <c r="F33" s="16">
        <v>1.43872789</v>
      </c>
      <c r="G33" s="14">
        <v>8.5228183800000004</v>
      </c>
      <c r="H33" s="16">
        <v>1.43872789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(2566/B34*100)</f>
        <v>84.546952224052717</v>
      </c>
      <c r="D34" s="15">
        <v>469</v>
      </c>
      <c r="E34" s="14">
        <v>92.590697359999993</v>
      </c>
      <c r="F34" s="16">
        <v>1.1981254299999999</v>
      </c>
      <c r="G34" s="14">
        <v>7.4093026399999999</v>
      </c>
      <c r="H34" s="16">
        <v>1.1981254299999999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91.15528261</v>
      </c>
      <c r="F35" s="16">
        <v>1.85256059</v>
      </c>
      <c r="G35" s="14">
        <v>8.8447173899999996</v>
      </c>
      <c r="H35" s="16">
        <v>1.85256059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(2876/B36*100)</f>
        <v>84.488836662749705</v>
      </c>
      <c r="D36" s="15">
        <v>528</v>
      </c>
      <c r="E36" s="14">
        <v>91.322007799999994</v>
      </c>
      <c r="F36" s="16">
        <v>1.03830274</v>
      </c>
      <c r="G36" s="14">
        <v>8.6779922000000003</v>
      </c>
      <c r="H36" s="16">
        <v>1.03830274</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(2304/B37*100)</f>
        <v>84.364701574514839</v>
      </c>
      <c r="D37" s="15">
        <v>427</v>
      </c>
      <c r="E37" s="14">
        <v>91.811828950000006</v>
      </c>
      <c r="F37" s="16">
        <v>1.33263157</v>
      </c>
      <c r="G37" s="14">
        <v>8.1881710499999993</v>
      </c>
      <c r="H37" s="16">
        <v>1.33263157</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(2419/B39*100)</f>
        <v>82.334921715452694</v>
      </c>
      <c r="D39" s="15">
        <v>519</v>
      </c>
      <c r="E39" s="14">
        <v>94.806307399999994</v>
      </c>
      <c r="F39" s="16">
        <v>1.1388384899999999</v>
      </c>
      <c r="G39" s="14">
        <v>5.1936926000000003</v>
      </c>
      <c r="H39" s="16">
        <v>1.1388384899999999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(5755/B40*100)</f>
        <v>83.140710777232016</v>
      </c>
      <c r="D40" s="15">
        <v>1167</v>
      </c>
      <c r="E40" s="14">
        <v>87.698382699999996</v>
      </c>
      <c r="F40" s="16">
        <v>1.7048076299999999</v>
      </c>
      <c r="G40" s="14">
        <v>12.3016173</v>
      </c>
      <c r="H40" s="16">
        <v>1.7048076299999999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(2378/B41*100)</f>
        <v>83.321653819201131</v>
      </c>
      <c r="D41" s="15">
        <v>476</v>
      </c>
      <c r="E41" s="14">
        <v>89.918627790000002</v>
      </c>
      <c r="F41" s="16">
        <v>1.4957236599999999</v>
      </c>
      <c r="G41" s="14">
        <v>10.08137221</v>
      </c>
      <c r="H41" s="16">
        <v>1.4957236599999999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83.765661303866892</v>
      </c>
      <c r="D42" s="15">
        <f>IF(COUNT(D7:D41) &gt; 0, AVERAGE(D7:D41), "—")</f>
        <v>587.25</v>
      </c>
      <c r="E42" s="14">
        <f>IF(COUNT(E7:E41) &gt; 0, AVERAGE(E7:E41), "—")</f>
        <v>92.075594883437489</v>
      </c>
      <c r="F42" s="16">
        <f>IF(COUNT(F7:F41) &gt; 0, SQRT(SUMSQ(F7:F41)/(COUNT(F7:F41)*COUNT(F7:F41)) ), "—")</f>
        <v>0.2260068439442656</v>
      </c>
      <c r="G42" s="14">
        <f>IF(COUNT(G7:G41) &gt; 0, AVERAGE(G7:G41), "—")</f>
        <v>7.9244051165625002</v>
      </c>
      <c r="H42" s="16">
        <f>IF(COUNT(H7:H41) &gt; 0, SQRT(SUMSQ(H7:H41)/(COUNT(H7:H41)*COUNT(H7:H41)) ), "—")</f>
        <v>0.2260068439442656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(10715/B46*100)</f>
        <v>88.751760125900773</v>
      </c>
      <c r="D46" s="15">
        <v>1358</v>
      </c>
      <c r="E46" s="14">
        <v>93.526390689999999</v>
      </c>
      <c r="F46" s="16">
        <v>0.69010419000000001</v>
      </c>
      <c r="G46" s="14">
        <v>6.4736093099999996</v>
      </c>
      <c r="H46" s="16">
        <v>0.69010419000000001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(2372/B47*100)</f>
        <v>84.02408784980517</v>
      </c>
      <c r="D47" s="15">
        <v>451</v>
      </c>
      <c r="E47" s="14">
        <v>92.197429009999993</v>
      </c>
      <c r="F47" s="16">
        <v>1.1658660700000001</v>
      </c>
      <c r="G47" s="14">
        <v>7.8025709900000004</v>
      </c>
      <c r="H47" s="16">
        <v>1.1658660700000001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(3905/B48*100)</f>
        <v>83.404527979495953</v>
      </c>
      <c r="D48" s="15">
        <v>777</v>
      </c>
      <c r="E48" s="14">
        <v>94.519242480000003</v>
      </c>
      <c r="F48" s="16">
        <v>1.0048311700000001</v>
      </c>
      <c r="G48" s="14">
        <v>5.48075752</v>
      </c>
      <c r="H48" s="16">
        <v>1.0048311700000001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(5217/B50*100)</f>
        <v>84.719064631373826</v>
      </c>
      <c r="D50" s="15">
        <v>941</v>
      </c>
      <c r="E50" s="14">
        <v>94.846802940000003</v>
      </c>
      <c r="F50" s="16">
        <v>0.83331239000000001</v>
      </c>
      <c r="G50" s="14">
        <v>5.1531970600000001</v>
      </c>
      <c r="H50" s="16">
        <v>0.83331239000000001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(3036/B51*100)</f>
        <v>86.891814539210074</v>
      </c>
      <c r="D51" s="15">
        <v>458</v>
      </c>
      <c r="E51" s="14">
        <v>92.758912620000004</v>
      </c>
      <c r="F51" s="16">
        <v>1.4115624600000001</v>
      </c>
      <c r="G51" s="14">
        <v>7.2410873799999997</v>
      </c>
      <c r="H51" s="16">
        <v>1.4115624600000001</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(2506/B52*100)</f>
        <v>83.172917358114844</v>
      </c>
      <c r="D52" s="15">
        <v>507</v>
      </c>
      <c r="E52" s="14">
        <v>90.801274840000005</v>
      </c>
      <c r="F52" s="16">
        <v>1.34338987</v>
      </c>
      <c r="G52" s="14">
        <v>9.1987251600000004</v>
      </c>
      <c r="H52" s="16">
        <v>1.34338987</v>
      </c>
      <c r="I52" s="14" t="s">
        <v>139</v>
      </c>
      <c r="J52" s="16" t="s">
        <v>139</v>
      </c>
      <c r="K52" s="14">
        <v>0</v>
      </c>
      <c r="L52" s="16">
        <v>0</v>
      </c>
      <c r="M52" s="14">
        <v>0</v>
      </c>
      <c r="N52" s="16">
        <v>0</v>
      </c>
      <c r="O52" s="14">
        <v>0</v>
      </c>
      <c r="P52" s="16">
        <v>0</v>
      </c>
      <c r="Q52" s="14">
        <v>0</v>
      </c>
      <c r="R52" s="16">
        <v>0</v>
      </c>
    </row>
    <row r="53" spans="1:18" x14ac:dyDescent="0.25">
      <c r="A53" s="11" t="s">
        <v>186</v>
      </c>
      <c r="B53" s="13">
        <v>2760</v>
      </c>
      <c r="C53" s="14">
        <f>(2338/B53*100)</f>
        <v>84.710144927536234</v>
      </c>
      <c r="D53" s="15">
        <v>422</v>
      </c>
      <c r="E53" s="14">
        <v>90.699550459999998</v>
      </c>
      <c r="F53" s="16">
        <v>1.43190895</v>
      </c>
      <c r="G53" s="14">
        <v>9.3004495400000007</v>
      </c>
      <c r="H53" s="16">
        <v>1.43190895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(2210/B56*100)</f>
        <v>82.616822429906549</v>
      </c>
      <c r="D56" s="15">
        <v>465</v>
      </c>
      <c r="E56" s="14">
        <v>92.899577449999995</v>
      </c>
      <c r="F56" s="16">
        <v>1.1116894100000001</v>
      </c>
      <c r="G56" s="14">
        <v>7.1004225500000002</v>
      </c>
      <c r="H56" s="16">
        <v>1.1116894100000001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94.473678169999999</v>
      </c>
      <c r="F61" s="16">
        <v>1.0852923000000001</v>
      </c>
      <c r="G61" s="14">
        <v>5.5263218299999997</v>
      </c>
      <c r="H61" s="16">
        <v>1.0852923000000001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(1871/B62*100)</f>
        <v>83.901345291479828</v>
      </c>
      <c r="D62" s="15">
        <v>359</v>
      </c>
      <c r="E62" s="14">
        <v>92.428002219999996</v>
      </c>
      <c r="F62" s="16">
        <v>1.29796837</v>
      </c>
      <c r="G62" s="14">
        <v>7.5719977800000002</v>
      </c>
      <c r="H62" s="16">
        <v>1.29796837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(2319/B66*100)</f>
        <v>83.688199206062791</v>
      </c>
      <c r="D66" s="15">
        <v>452</v>
      </c>
      <c r="E66" s="14">
        <v>93.587882129999997</v>
      </c>
      <c r="F66" s="16">
        <v>1.1692136399999999</v>
      </c>
      <c r="G66" s="14">
        <v>6.4121178700000003</v>
      </c>
      <c r="H66" s="16">
        <v>1.1692136399999999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(3015/B67*100)</f>
        <v>87.138728323699425</v>
      </c>
      <c r="D67" s="15">
        <v>445</v>
      </c>
      <c r="E67" s="14">
        <v>89.111922609999993</v>
      </c>
      <c r="F67" s="16">
        <v>1.7685543699999999</v>
      </c>
      <c r="G67" s="14">
        <v>10.888077389999999</v>
      </c>
      <c r="H67" s="16">
        <v>1.7685543699999999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(2604/B70*100)</f>
        <v>83.810749919536534</v>
      </c>
      <c r="D70" s="15">
        <v>503</v>
      </c>
      <c r="E70" s="14">
        <v>89.855498530000006</v>
      </c>
      <c r="F70" s="16">
        <v>1.65131597</v>
      </c>
      <c r="G70" s="14">
        <v>10.14450147</v>
      </c>
      <c r="H70" s="16">
        <v>1.65131597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(3157/B72*100)</f>
        <v>82.665619272060752</v>
      </c>
      <c r="D72" s="15">
        <v>662</v>
      </c>
      <c r="E72" s="14">
        <v>88.901593160000004</v>
      </c>
      <c r="F72" s="16">
        <v>1.41512748</v>
      </c>
      <c r="G72" s="14">
        <v>11.098406840000001</v>
      </c>
      <c r="H72" s="16">
        <v>1.41512748</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(3969/B73*100)</f>
        <v>85.318142734307827</v>
      </c>
      <c r="D73" s="15">
        <v>683</v>
      </c>
      <c r="E73" s="14">
        <v>94.777606860000006</v>
      </c>
      <c r="F73" s="16">
        <v>0.80542572000000001</v>
      </c>
      <c r="G73" s="14">
        <v>5.2223931400000003</v>
      </c>
      <c r="H73" s="16">
        <v>0.80542572000000001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(2543/B75*100)</f>
        <v>85.651734590771298</v>
      </c>
      <c r="D75" s="15">
        <v>426</v>
      </c>
      <c r="E75" s="14">
        <v>92.744477540000005</v>
      </c>
      <c r="F75" s="16">
        <v>1.2848124400000001</v>
      </c>
      <c r="G75" s="14">
        <v>7.2555224599999999</v>
      </c>
      <c r="H75" s="16">
        <v>1.2848124400000001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(5922/B76*100)</f>
        <v>83.232607167955024</v>
      </c>
      <c r="D76" s="15">
        <v>1193</v>
      </c>
      <c r="E76" s="14">
        <v>84.771262250000007</v>
      </c>
      <c r="F76" s="16">
        <v>1.39813342</v>
      </c>
      <c r="G76" s="14">
        <v>15.228737750000001</v>
      </c>
      <c r="H76" s="16">
        <v>1.39813342</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(2678/B77*100)</f>
        <v>84.908053265694363</v>
      </c>
      <c r="D77" s="15">
        <v>476</v>
      </c>
      <c r="E77" s="14">
        <v>91.478227369999999</v>
      </c>
      <c r="F77" s="16">
        <v>1.18090896</v>
      </c>
      <c r="G77" s="14">
        <v>8.5217726299999992</v>
      </c>
      <c r="H77" s="16">
        <v>1.18090896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(3914/B81*100)</f>
        <v>83.312047679863781</v>
      </c>
      <c r="D81" s="15">
        <v>784</v>
      </c>
      <c r="E81" s="14">
        <v>93.922991469999999</v>
      </c>
      <c r="F81" s="16">
        <v>1.0993400499999999</v>
      </c>
      <c r="G81" s="14">
        <v>6.0770085299999996</v>
      </c>
      <c r="H81" s="16">
        <v>1.0993400499999999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(5995/B7*100)</f>
        <v>83.693982968030156</v>
      </c>
      <c r="D7" s="15">
        <v>1168</v>
      </c>
      <c r="E7" s="14">
        <v>35.909599700000001</v>
      </c>
      <c r="F7" s="16">
        <v>1.79683901</v>
      </c>
      <c r="G7" s="14">
        <v>64.090400299999999</v>
      </c>
      <c r="H7" s="16">
        <v>1.79683901</v>
      </c>
      <c r="I7" s="14" t="s">
        <v>139</v>
      </c>
      <c r="J7" s="16" t="s">
        <v>139</v>
      </c>
      <c r="K7" s="14">
        <v>0</v>
      </c>
      <c r="L7" s="16">
        <v>0</v>
      </c>
      <c r="M7" s="14">
        <v>0</v>
      </c>
      <c r="N7" s="16">
        <v>0</v>
      </c>
      <c r="O7" s="14">
        <v>0</v>
      </c>
      <c r="P7" s="16">
        <v>0</v>
      </c>
      <c r="Q7" s="14">
        <v>0</v>
      </c>
      <c r="R7" s="16">
        <v>0</v>
      </c>
    </row>
    <row r="8" spans="1:18" x14ac:dyDescent="0.25">
      <c r="A8" s="11" t="s">
        <v>140</v>
      </c>
      <c r="B8" s="13">
        <v>3443</v>
      </c>
      <c r="C8" s="14">
        <f>(2856/B8*100)</f>
        <v>82.950914899796686</v>
      </c>
      <c r="D8" s="15">
        <v>587</v>
      </c>
      <c r="E8" s="14">
        <v>48.321939870000001</v>
      </c>
      <c r="F8" s="16">
        <v>2.31055535</v>
      </c>
      <c r="G8" s="14">
        <v>51.678060129999999</v>
      </c>
      <c r="H8" s="16">
        <v>2.31055535</v>
      </c>
      <c r="I8" s="14" t="s">
        <v>139</v>
      </c>
      <c r="J8" s="16" t="s">
        <v>139</v>
      </c>
      <c r="K8" s="14">
        <v>0</v>
      </c>
      <c r="L8" s="16">
        <v>0</v>
      </c>
      <c r="M8" s="14">
        <v>0</v>
      </c>
      <c r="N8" s="16">
        <v>0</v>
      </c>
      <c r="O8" s="14">
        <v>0</v>
      </c>
      <c r="P8" s="16">
        <v>0</v>
      </c>
      <c r="Q8" s="14">
        <v>0</v>
      </c>
      <c r="R8" s="16">
        <v>0</v>
      </c>
    </row>
    <row r="9" spans="1:18" x14ac:dyDescent="0.25">
      <c r="A9" s="11" t="s">
        <v>141</v>
      </c>
      <c r="B9" s="13">
        <v>4752</v>
      </c>
      <c r="C9" s="14">
        <f>(4015/B9*100)</f>
        <v>84.490740740740748</v>
      </c>
      <c r="D9" s="15">
        <v>737</v>
      </c>
      <c r="E9" s="14">
        <v>51.22733427</v>
      </c>
      <c r="F9" s="16">
        <v>1.83632017</v>
      </c>
      <c r="G9" s="14">
        <v>48.77266573</v>
      </c>
      <c r="H9" s="16">
        <v>1.83632017</v>
      </c>
      <c r="I9" s="14" t="s">
        <v>139</v>
      </c>
      <c r="J9" s="16" t="s">
        <v>139</v>
      </c>
      <c r="K9" s="14">
        <v>0</v>
      </c>
      <c r="L9" s="16">
        <v>0</v>
      </c>
      <c r="M9" s="14">
        <v>0</v>
      </c>
      <c r="N9" s="16">
        <v>0</v>
      </c>
      <c r="O9" s="14">
        <v>0</v>
      </c>
      <c r="P9" s="16">
        <v>0</v>
      </c>
      <c r="Q9" s="14">
        <v>0</v>
      </c>
      <c r="R9" s="16">
        <v>0</v>
      </c>
    </row>
    <row r="10" spans="1:18" x14ac:dyDescent="0.25">
      <c r="A10" s="11" t="s">
        <v>142</v>
      </c>
      <c r="B10" s="13">
        <v>10022</v>
      </c>
      <c r="C10" s="14">
        <f>(8350/B10*100)</f>
        <v>83.316703252843752</v>
      </c>
      <c r="D10" s="15">
        <v>1672</v>
      </c>
      <c r="E10" s="14">
        <v>38.400362979999997</v>
      </c>
      <c r="F10" s="16">
        <v>1.4702803200000001</v>
      </c>
      <c r="G10" s="14">
        <v>61.599637020000003</v>
      </c>
      <c r="H10" s="16">
        <v>1.4702803200000001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(2951/B11*100)</f>
        <v>84.314285714285717</v>
      </c>
      <c r="D11" s="15">
        <v>549</v>
      </c>
      <c r="E11" s="14">
        <v>61.035511</v>
      </c>
      <c r="F11" s="16">
        <v>2.4754785400000001</v>
      </c>
      <c r="G11" s="14">
        <v>38.964489</v>
      </c>
      <c r="H11" s="16">
        <v>2.4754785400000001</v>
      </c>
      <c r="I11" s="14" t="s">
        <v>139</v>
      </c>
      <c r="J11" s="16" t="s">
        <v>139</v>
      </c>
      <c r="K11" s="14">
        <v>0</v>
      </c>
      <c r="L11" s="16">
        <v>0</v>
      </c>
      <c r="M11" s="14">
        <v>0</v>
      </c>
      <c r="N11" s="16">
        <v>0</v>
      </c>
      <c r="O11" s="14">
        <v>0</v>
      </c>
      <c r="P11" s="16">
        <v>0</v>
      </c>
      <c r="Q11" s="14">
        <v>0</v>
      </c>
      <c r="R11" s="16">
        <v>0</v>
      </c>
    </row>
    <row r="12" spans="1:18" x14ac:dyDescent="0.25">
      <c r="A12" s="11" t="s">
        <v>144</v>
      </c>
      <c r="B12" s="13">
        <v>3422</v>
      </c>
      <c r="C12" s="14">
        <f>(2896/B12*100)</f>
        <v>84.628872004675628</v>
      </c>
      <c r="D12" s="15">
        <v>526</v>
      </c>
      <c r="E12" s="14">
        <v>47.762195249999998</v>
      </c>
      <c r="F12" s="16">
        <v>2.5119439799999999</v>
      </c>
      <c r="G12" s="14">
        <v>52.237804750000002</v>
      </c>
      <c r="H12" s="16">
        <v>2.5119439799999999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(3034/B13*100)</f>
        <v>84.230982787340366</v>
      </c>
      <c r="D13" s="15">
        <v>568</v>
      </c>
      <c r="E13" s="14">
        <v>45.317425989999997</v>
      </c>
      <c r="F13" s="16">
        <v>2.6030095100000001</v>
      </c>
      <c r="G13" s="14">
        <v>54.682574010000003</v>
      </c>
      <c r="H13" s="16">
        <v>2.6030095100000001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(2319/B14*100)</f>
        <v>83.177905308464844</v>
      </c>
      <c r="D14" s="15">
        <v>469</v>
      </c>
      <c r="E14" s="14">
        <v>38.195880209999999</v>
      </c>
      <c r="F14" s="16">
        <v>2.2922414799999999</v>
      </c>
      <c r="G14" s="14">
        <v>61.804119790000001</v>
      </c>
      <c r="H14" s="16">
        <v>2.2922414799999999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(2378/B15*100)</f>
        <v>83.059727558505074</v>
      </c>
      <c r="D15" s="15">
        <v>485</v>
      </c>
      <c r="E15" s="14">
        <v>32.843294200000003</v>
      </c>
      <c r="F15" s="16">
        <v>2.1776838299999999</v>
      </c>
      <c r="G15" s="14">
        <v>67.156705799999997</v>
      </c>
      <c r="H15" s="16">
        <v>2.1776838299999999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(2593/B16*100)</f>
        <v>83.349405335904862</v>
      </c>
      <c r="D16" s="15">
        <v>518</v>
      </c>
      <c r="E16" s="14">
        <v>50.600612679999998</v>
      </c>
      <c r="F16" s="16">
        <v>2.3583029</v>
      </c>
      <c r="G16" s="14">
        <v>49.399387320000002</v>
      </c>
      <c r="H16" s="16">
        <v>2.3583029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43.590436949999997</v>
      </c>
      <c r="F17" s="16">
        <v>2.3418009299999998</v>
      </c>
      <c r="G17" s="14">
        <v>56.409563050000003</v>
      </c>
      <c r="H17" s="16">
        <v>2.3418009299999998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(2244/B18*100)</f>
        <v>82.926829268292678</v>
      </c>
      <c r="D18" s="15">
        <v>462</v>
      </c>
      <c r="E18" s="14">
        <v>59.99724853</v>
      </c>
      <c r="F18" s="16">
        <v>2.6145983400000001</v>
      </c>
      <c r="G18" s="14">
        <v>40.00275147</v>
      </c>
      <c r="H18" s="16">
        <v>2.6145983400000001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(2398/B19*100)</f>
        <v>84.140350877192986</v>
      </c>
      <c r="D19" s="15">
        <v>452</v>
      </c>
      <c r="E19" s="14">
        <v>63.078408070000002</v>
      </c>
      <c r="F19" s="16">
        <v>2.2158375800000001</v>
      </c>
      <c r="G19" s="14">
        <v>36.921591929999998</v>
      </c>
      <c r="H19" s="16">
        <v>2.2158375800000001</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47.479755439999998</v>
      </c>
      <c r="F20" s="16">
        <v>2.9721747500000002</v>
      </c>
      <c r="G20" s="14">
        <v>52.520244560000002</v>
      </c>
      <c r="H20" s="16">
        <v>2.9721747500000002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(3154/B22*100)</f>
        <v>86.010362694300511</v>
      </c>
      <c r="D22" s="15">
        <v>513</v>
      </c>
      <c r="E22" s="14">
        <v>54.10051773</v>
      </c>
      <c r="F22" s="16">
        <v>2.44919178</v>
      </c>
      <c r="G22" s="14">
        <v>45.89948227</v>
      </c>
      <c r="H22" s="16">
        <v>2.44919178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(4822/B23*100)</f>
        <v>83.252762430939228</v>
      </c>
      <c r="D23" s="15">
        <v>970</v>
      </c>
      <c r="E23" s="14">
        <v>59.053625789999998</v>
      </c>
      <c r="F23" s="16">
        <v>2.26220585</v>
      </c>
      <c r="G23" s="14">
        <v>40.946374210000002</v>
      </c>
      <c r="H23" s="16">
        <v>2.26220585</v>
      </c>
      <c r="I23" s="14" t="s">
        <v>139</v>
      </c>
      <c r="J23" s="16" t="s">
        <v>139</v>
      </c>
      <c r="K23" s="14">
        <v>0</v>
      </c>
      <c r="L23" s="16">
        <v>0</v>
      </c>
      <c r="M23" s="14">
        <v>0</v>
      </c>
      <c r="N23" s="16">
        <v>0</v>
      </c>
      <c r="O23" s="14">
        <v>0</v>
      </c>
      <c r="P23" s="16">
        <v>0</v>
      </c>
      <c r="Q23" s="14">
        <v>0</v>
      </c>
      <c r="R23" s="16">
        <v>0</v>
      </c>
    </row>
    <row r="24" spans="1:18" x14ac:dyDescent="0.25">
      <c r="A24" s="11" t="s">
        <v>157</v>
      </c>
      <c r="B24" s="13">
        <v>3309</v>
      </c>
      <c r="C24" s="14">
        <f>(2733/B24*100)</f>
        <v>82.592928377153214</v>
      </c>
      <c r="D24" s="15">
        <v>576</v>
      </c>
      <c r="E24" s="14">
        <v>19.741663939999999</v>
      </c>
      <c r="F24" s="16">
        <v>1.63082748</v>
      </c>
      <c r="G24" s="14">
        <v>80.258336060000005</v>
      </c>
      <c r="H24" s="16">
        <v>1.63082748</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35.817879810000001</v>
      </c>
      <c r="F25" s="16">
        <v>2.3154267399999999</v>
      </c>
      <c r="G25" s="14">
        <v>64.182120190000006</v>
      </c>
      <c r="H25" s="16">
        <v>2.3154267399999999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(1998/B26*100)</f>
        <v>82.596114096734183</v>
      </c>
      <c r="D26" s="15">
        <v>421</v>
      </c>
      <c r="E26" s="14">
        <v>51.15855938</v>
      </c>
      <c r="F26" s="16">
        <v>2.6259919300000001</v>
      </c>
      <c r="G26" s="14">
        <v>48.84144062</v>
      </c>
      <c r="H26" s="16">
        <v>2.6259919300000001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47.637007750000002</v>
      </c>
      <c r="F27" s="16">
        <v>2.37440849</v>
      </c>
      <c r="G27" s="14">
        <v>52.362992249999998</v>
      </c>
      <c r="H27" s="16">
        <v>2.37440849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(3245/B28*100)</f>
        <v>85.327373126479102</v>
      </c>
      <c r="D28" s="15">
        <v>558</v>
      </c>
      <c r="E28" s="14">
        <v>67.081012380000004</v>
      </c>
      <c r="F28" s="16">
        <v>2.1401897299999999</v>
      </c>
      <c r="G28" s="14">
        <v>32.918987620000003</v>
      </c>
      <c r="H28" s="16">
        <v>2.1401897299999999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(2266/B29*100)</f>
        <v>83.925925925925924</v>
      </c>
      <c r="D29" s="15">
        <v>434</v>
      </c>
      <c r="E29" s="14">
        <v>50.504098169999999</v>
      </c>
      <c r="F29" s="16">
        <v>2.51849889</v>
      </c>
      <c r="G29" s="14">
        <v>49.495901830000001</v>
      </c>
      <c r="H29" s="16">
        <v>2.51849889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(1934/B30*100)</f>
        <v>85.688967656180765</v>
      </c>
      <c r="D30" s="15">
        <v>323</v>
      </c>
      <c r="E30" s="14">
        <v>34.590125049999997</v>
      </c>
      <c r="F30" s="16">
        <v>2.4424828500000002</v>
      </c>
      <c r="G30" s="14">
        <v>65.409874950000003</v>
      </c>
      <c r="H30" s="16">
        <v>2.4424828500000002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(2260/B31*100)</f>
        <v>83.518107908351809</v>
      </c>
      <c r="D31" s="15">
        <v>446</v>
      </c>
      <c r="E31" s="14">
        <v>52.74263414</v>
      </c>
      <c r="F31" s="16">
        <v>2.62298426</v>
      </c>
      <c r="G31" s="14">
        <v>47.25736586</v>
      </c>
      <c r="H31" s="16">
        <v>2.62298426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43.10164065</v>
      </c>
      <c r="F33" s="16">
        <v>2.2540581300000002</v>
      </c>
      <c r="G33" s="14">
        <v>56.89835935</v>
      </c>
      <c r="H33" s="16">
        <v>2.2540581300000002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(2566/B34*100)</f>
        <v>84.546952224052717</v>
      </c>
      <c r="D34" s="15">
        <v>469</v>
      </c>
      <c r="E34" s="14">
        <v>58.972035210000001</v>
      </c>
      <c r="F34" s="16">
        <v>2.3250874700000002</v>
      </c>
      <c r="G34" s="14">
        <v>41.027964789999999</v>
      </c>
      <c r="H34" s="16">
        <v>2.3250874700000002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37.858596519999999</v>
      </c>
      <c r="F35" s="16">
        <v>2.6124963499999998</v>
      </c>
      <c r="G35" s="14">
        <v>62.141403480000001</v>
      </c>
      <c r="H35" s="16">
        <v>2.6124963499999998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(2876/B36*100)</f>
        <v>84.488836662749705</v>
      </c>
      <c r="D36" s="15">
        <v>528</v>
      </c>
      <c r="E36" s="14">
        <v>50.718684449999998</v>
      </c>
      <c r="F36" s="16">
        <v>2.5060236800000002</v>
      </c>
      <c r="G36" s="14">
        <v>49.281315550000002</v>
      </c>
      <c r="H36" s="16">
        <v>2.5060236800000002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(2304/B37*100)</f>
        <v>84.364701574514839</v>
      </c>
      <c r="D37" s="15">
        <v>427</v>
      </c>
      <c r="E37" s="14">
        <v>39.34377052</v>
      </c>
      <c r="F37" s="16">
        <v>2.5066382599999999</v>
      </c>
      <c r="G37" s="14">
        <v>60.65622948</v>
      </c>
      <c r="H37" s="16">
        <v>2.5066382599999999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(2419/B39*100)</f>
        <v>82.334921715452694</v>
      </c>
      <c r="D39" s="15">
        <v>519</v>
      </c>
      <c r="E39" s="14">
        <v>68.10602059</v>
      </c>
      <c r="F39" s="16">
        <v>1.9243783999999999</v>
      </c>
      <c r="G39" s="14">
        <v>31.89397941</v>
      </c>
      <c r="H39" s="16">
        <v>1.9243783999999999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(5755/B40*100)</f>
        <v>83.140710777232016</v>
      </c>
      <c r="D40" s="15">
        <v>1167</v>
      </c>
      <c r="E40" s="14">
        <v>41.218597670000001</v>
      </c>
      <c r="F40" s="16">
        <v>2.26240752</v>
      </c>
      <c r="G40" s="14">
        <v>58.781402329999999</v>
      </c>
      <c r="H40" s="16">
        <v>2.26240752</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(2378/B41*100)</f>
        <v>83.321653819201131</v>
      </c>
      <c r="D41" s="15">
        <v>476</v>
      </c>
      <c r="E41" s="14">
        <v>37.775013309999999</v>
      </c>
      <c r="F41" s="16">
        <v>2.6632761899999999</v>
      </c>
      <c r="G41" s="14">
        <v>62.224986690000001</v>
      </c>
      <c r="H41" s="16">
        <v>2.6632761899999999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83.765661303866892</v>
      </c>
      <c r="D42" s="15">
        <f>IF(COUNT(D7:D41) &gt; 0, AVERAGE(D7:D41), "—")</f>
        <v>587.25</v>
      </c>
      <c r="E42" s="14">
        <f>IF(COUNT(E7:E41) &gt; 0, AVERAGE(E7:E41), "—")</f>
        <v>47.29004650625</v>
      </c>
      <c r="F42" s="16">
        <f>IF(COUNT(F7:F41) &gt; 0, SQRT(SUMSQ(F7:F41)/(COUNT(F7:F41)*COUNT(F7:F41)) ), "—")</f>
        <v>0.41477411953607729</v>
      </c>
      <c r="G42" s="14">
        <f>IF(COUNT(G7:G41) &gt; 0, AVERAGE(G7:G41), "—")</f>
        <v>52.70995349375</v>
      </c>
      <c r="H42" s="16">
        <f>IF(COUNT(H7:H41) &gt; 0, SQRT(SUMSQ(H7:H41)/(COUNT(H7:H41)*COUNT(H7:H41)) ), "—")</f>
        <v>0.41477411953607729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(10715/B46*100)</f>
        <v>88.751760125900773</v>
      </c>
      <c r="D46" s="15">
        <v>1358</v>
      </c>
      <c r="E46" s="14">
        <v>64.082361689999999</v>
      </c>
      <c r="F46" s="16">
        <v>1.7196260299999999</v>
      </c>
      <c r="G46" s="14">
        <v>35.917638310000001</v>
      </c>
      <c r="H46" s="16">
        <v>1.7196260299999999</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(2372/B47*100)</f>
        <v>84.02408784980517</v>
      </c>
      <c r="D47" s="15">
        <v>451</v>
      </c>
      <c r="E47" s="14">
        <v>69.20560347</v>
      </c>
      <c r="F47" s="16">
        <v>2.1014708</v>
      </c>
      <c r="G47" s="14">
        <v>30.79439653</v>
      </c>
      <c r="H47" s="16">
        <v>2.1014708</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(3905/B48*100)</f>
        <v>83.404527979495953</v>
      </c>
      <c r="D48" s="15">
        <v>777</v>
      </c>
      <c r="E48" s="14">
        <v>48.881437640000001</v>
      </c>
      <c r="F48" s="16">
        <v>2.1470146799999998</v>
      </c>
      <c r="G48" s="14">
        <v>51.118562359999999</v>
      </c>
      <c r="H48" s="16">
        <v>2.1470146799999998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(5217/B50*100)</f>
        <v>84.719064631373826</v>
      </c>
      <c r="D50" s="15">
        <v>941</v>
      </c>
      <c r="E50" s="14">
        <v>69.492406439999996</v>
      </c>
      <c r="F50" s="16">
        <v>1.94199313</v>
      </c>
      <c r="G50" s="14">
        <v>30.50759356</v>
      </c>
      <c r="H50" s="16">
        <v>1.94199313</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(3036/B51*100)</f>
        <v>86.891814539210074</v>
      </c>
      <c r="D51" s="15">
        <v>458</v>
      </c>
      <c r="E51" s="14">
        <v>67.273502579999999</v>
      </c>
      <c r="F51" s="16">
        <v>2.7787009299999998</v>
      </c>
      <c r="G51" s="14">
        <v>32.726497420000001</v>
      </c>
      <c r="H51" s="16">
        <v>2.7787009299999998</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(2506/B52*100)</f>
        <v>83.172917358114844</v>
      </c>
      <c r="D52" s="15">
        <v>507</v>
      </c>
      <c r="E52" s="14">
        <v>49.296326489999998</v>
      </c>
      <c r="F52" s="16">
        <v>1.8849761300000001</v>
      </c>
      <c r="G52" s="14">
        <v>50.703673510000002</v>
      </c>
      <c r="H52" s="16">
        <v>1.8849761300000001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(2338/B53*100)</f>
        <v>84.710144927536234</v>
      </c>
      <c r="D53" s="15">
        <v>422</v>
      </c>
      <c r="E53" s="14">
        <v>58.311265470000002</v>
      </c>
      <c r="F53" s="16">
        <v>2.68959042</v>
      </c>
      <c r="G53" s="14">
        <v>41.688734529999998</v>
      </c>
      <c r="H53" s="16">
        <v>2.68959042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(2210/B56*100)</f>
        <v>82.616822429906549</v>
      </c>
      <c r="D56" s="15">
        <v>465</v>
      </c>
      <c r="E56" s="14">
        <v>27.26652262</v>
      </c>
      <c r="F56" s="16">
        <v>2.2881582300000001</v>
      </c>
      <c r="G56" s="14">
        <v>72.733477379999997</v>
      </c>
      <c r="H56" s="16">
        <v>2.2881582300000001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53.145866220000002</v>
      </c>
      <c r="F61" s="16">
        <v>2.5974376499999998</v>
      </c>
      <c r="G61" s="14">
        <v>46.854133779999998</v>
      </c>
      <c r="H61" s="16">
        <v>2.5974376499999998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(1871/B62*100)</f>
        <v>83.901345291479828</v>
      </c>
      <c r="D62" s="15">
        <v>359</v>
      </c>
      <c r="E62" s="14">
        <v>37.384925160000002</v>
      </c>
      <c r="F62" s="16">
        <v>2.3114435000000002</v>
      </c>
      <c r="G62" s="14">
        <v>62.615074839999998</v>
      </c>
      <c r="H62" s="16">
        <v>2.3114435000000002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(2319/B66*100)</f>
        <v>83.688199206062791</v>
      </c>
      <c r="D66" s="15">
        <v>452</v>
      </c>
      <c r="E66" s="14">
        <v>64.429046240000005</v>
      </c>
      <c r="F66" s="16">
        <v>2.4100241599999999</v>
      </c>
      <c r="G66" s="14">
        <v>35.570953760000002</v>
      </c>
      <c r="H66" s="16">
        <v>2.4100241599999999</v>
      </c>
      <c r="I66" s="14" t="s">
        <v>139</v>
      </c>
      <c r="J66" s="16" t="s">
        <v>139</v>
      </c>
      <c r="K66" s="14">
        <v>0</v>
      </c>
      <c r="L66" s="16">
        <v>0</v>
      </c>
      <c r="M66" s="14">
        <v>0</v>
      </c>
      <c r="N66" s="16">
        <v>0</v>
      </c>
      <c r="O66" s="14">
        <v>0</v>
      </c>
      <c r="P66" s="16">
        <v>0</v>
      </c>
      <c r="Q66" s="14">
        <v>0</v>
      </c>
      <c r="R66" s="16">
        <v>0</v>
      </c>
    </row>
    <row r="67" spans="1:18" x14ac:dyDescent="0.25">
      <c r="A67" s="11" t="s">
        <v>200</v>
      </c>
      <c r="B67" s="13">
        <v>3460</v>
      </c>
      <c r="C67" s="14">
        <f>(3015/B67*100)</f>
        <v>87.138728323699425</v>
      </c>
      <c r="D67" s="15">
        <v>445</v>
      </c>
      <c r="E67" s="14">
        <v>69.075712339999995</v>
      </c>
      <c r="F67" s="16">
        <v>2.2810261999999999</v>
      </c>
      <c r="G67" s="14">
        <v>30.924287660000001</v>
      </c>
      <c r="H67" s="16">
        <v>2.2810261999999999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(2604/B70*100)</f>
        <v>83.810749919536534</v>
      </c>
      <c r="D70" s="15">
        <v>503</v>
      </c>
      <c r="E70" s="14">
        <v>53.049985630000002</v>
      </c>
      <c r="F70" s="16">
        <v>3.00529183</v>
      </c>
      <c r="G70" s="14">
        <v>46.950014369999998</v>
      </c>
      <c r="H70" s="16">
        <v>3.00529183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(3157/B72*100)</f>
        <v>82.665619272060752</v>
      </c>
      <c r="D72" s="15">
        <v>662</v>
      </c>
      <c r="E72" s="14">
        <v>30.721260709999999</v>
      </c>
      <c r="F72" s="16">
        <v>2.00872428</v>
      </c>
      <c r="G72" s="14">
        <v>69.278739290000004</v>
      </c>
      <c r="H72" s="16">
        <v>2.00872428</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(3969/B73*100)</f>
        <v>85.318142734307827</v>
      </c>
      <c r="D73" s="15">
        <v>683</v>
      </c>
      <c r="E73" s="14">
        <v>49.618977229999999</v>
      </c>
      <c r="F73" s="16">
        <v>2.5274892699999998</v>
      </c>
      <c r="G73" s="14">
        <v>50.381022770000001</v>
      </c>
      <c r="H73" s="16">
        <v>2.5274892699999998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(2543/B75*100)</f>
        <v>85.651734590771298</v>
      </c>
      <c r="D75" s="15">
        <v>426</v>
      </c>
      <c r="E75" s="14">
        <v>69.732270749999998</v>
      </c>
      <c r="F75" s="16">
        <v>2.01166285</v>
      </c>
      <c r="G75" s="14">
        <v>30.267729249999999</v>
      </c>
      <c r="H75" s="16">
        <v>2.01166285</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(5922/B76*100)</f>
        <v>83.232607167955024</v>
      </c>
      <c r="D76" s="15">
        <v>1193</v>
      </c>
      <c r="E76" s="14">
        <v>62.695007680000003</v>
      </c>
      <c r="F76" s="16">
        <v>2.3465388300000001</v>
      </c>
      <c r="G76" s="14">
        <v>37.304992319999997</v>
      </c>
      <c r="H76" s="16">
        <v>2.3465388300000001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(2678/B77*100)</f>
        <v>84.908053265694363</v>
      </c>
      <c r="D77" s="15">
        <v>476</v>
      </c>
      <c r="E77" s="14">
        <v>63.820735640000002</v>
      </c>
      <c r="F77" s="16">
        <v>2.2092666699999999</v>
      </c>
      <c r="G77" s="14">
        <v>36.179264359999998</v>
      </c>
      <c r="H77" s="16">
        <v>2.2092666699999999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(3914/B81*100)</f>
        <v>83.312047679863781</v>
      </c>
      <c r="D81" s="15">
        <v>784</v>
      </c>
      <c r="E81" s="14">
        <v>53.391185450000002</v>
      </c>
      <c r="F81" s="16">
        <v>2.3398453799999999</v>
      </c>
      <c r="G81" s="14">
        <v>46.608814549999998</v>
      </c>
      <c r="H81" s="16">
        <v>2.3398453799999999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(5995/B7*100)</f>
        <v>83.693982968030156</v>
      </c>
      <c r="D7" s="15">
        <v>1168</v>
      </c>
      <c r="E7" s="14">
        <v>21.765882260000001</v>
      </c>
      <c r="F7" s="16">
        <v>1.4514510700000001</v>
      </c>
      <c r="G7" s="14">
        <v>78.234117740000002</v>
      </c>
      <c r="H7" s="16">
        <v>1.4514510700000001</v>
      </c>
      <c r="I7" s="14" t="s">
        <v>139</v>
      </c>
      <c r="J7" s="16" t="s">
        <v>139</v>
      </c>
      <c r="K7" s="14">
        <v>0</v>
      </c>
      <c r="L7" s="16">
        <v>0</v>
      </c>
      <c r="M7" s="14">
        <v>0</v>
      </c>
      <c r="N7" s="16">
        <v>0</v>
      </c>
      <c r="O7" s="14">
        <v>0</v>
      </c>
      <c r="P7" s="16">
        <v>0</v>
      </c>
      <c r="Q7" s="14">
        <v>0</v>
      </c>
      <c r="R7" s="16">
        <v>0</v>
      </c>
    </row>
    <row r="8" spans="1:18" x14ac:dyDescent="0.25">
      <c r="A8" s="11" t="s">
        <v>140</v>
      </c>
      <c r="B8" s="13">
        <v>3443</v>
      </c>
      <c r="C8" s="14">
        <f>(2856/B8*100)</f>
        <v>82.950914899796686</v>
      </c>
      <c r="D8" s="15">
        <v>587</v>
      </c>
      <c r="E8" s="14">
        <v>28.889372760000001</v>
      </c>
      <c r="F8" s="16">
        <v>2.2922845000000001</v>
      </c>
      <c r="G8" s="14">
        <v>71.110627239999999</v>
      </c>
      <c r="H8" s="16">
        <v>2.2922845000000001</v>
      </c>
      <c r="I8" s="14" t="s">
        <v>139</v>
      </c>
      <c r="J8" s="16" t="s">
        <v>139</v>
      </c>
      <c r="K8" s="14">
        <v>0</v>
      </c>
      <c r="L8" s="16">
        <v>0</v>
      </c>
      <c r="M8" s="14">
        <v>0</v>
      </c>
      <c r="N8" s="16">
        <v>0</v>
      </c>
      <c r="O8" s="14">
        <v>0</v>
      </c>
      <c r="P8" s="16">
        <v>0</v>
      </c>
      <c r="Q8" s="14">
        <v>0</v>
      </c>
      <c r="R8" s="16">
        <v>0</v>
      </c>
    </row>
    <row r="9" spans="1:18" x14ac:dyDescent="0.25">
      <c r="A9" s="11" t="s">
        <v>141</v>
      </c>
      <c r="B9" s="13">
        <v>4752</v>
      </c>
      <c r="C9" s="14">
        <f>(4015/B9*100)</f>
        <v>84.490740740740748</v>
      </c>
      <c r="D9" s="15">
        <v>737</v>
      </c>
      <c r="E9" s="14">
        <v>30.541426909999998</v>
      </c>
      <c r="F9" s="16">
        <v>1.81104193</v>
      </c>
      <c r="G9" s="14">
        <v>69.458573090000002</v>
      </c>
      <c r="H9" s="16">
        <v>1.81104193</v>
      </c>
      <c r="I9" s="14" t="s">
        <v>139</v>
      </c>
      <c r="J9" s="16" t="s">
        <v>139</v>
      </c>
      <c r="K9" s="14">
        <v>0</v>
      </c>
      <c r="L9" s="16">
        <v>0</v>
      </c>
      <c r="M9" s="14">
        <v>0</v>
      </c>
      <c r="N9" s="16">
        <v>0</v>
      </c>
      <c r="O9" s="14">
        <v>0</v>
      </c>
      <c r="P9" s="16">
        <v>0</v>
      </c>
      <c r="Q9" s="14">
        <v>0</v>
      </c>
      <c r="R9" s="16">
        <v>0</v>
      </c>
    </row>
    <row r="10" spans="1:18" x14ac:dyDescent="0.25">
      <c r="A10" s="11" t="s">
        <v>142</v>
      </c>
      <c r="B10" s="13">
        <v>10022</v>
      </c>
      <c r="C10" s="14">
        <f>(8350/B10*100)</f>
        <v>83.316703252843752</v>
      </c>
      <c r="D10" s="15">
        <v>1672</v>
      </c>
      <c r="E10" s="14">
        <v>17.787116189999999</v>
      </c>
      <c r="F10" s="16">
        <v>1.0095056499999999</v>
      </c>
      <c r="G10" s="14">
        <v>82.212883809999994</v>
      </c>
      <c r="H10" s="16">
        <v>1.0095056499999999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(2951/B11*100)</f>
        <v>84.314285714285717</v>
      </c>
      <c r="D11" s="15">
        <v>549</v>
      </c>
      <c r="E11" s="14">
        <v>36.898660210000003</v>
      </c>
      <c r="F11" s="16">
        <v>2.2503012400000002</v>
      </c>
      <c r="G11" s="14">
        <v>63.101339789999997</v>
      </c>
      <c r="H11" s="16">
        <v>2.2503012400000002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(2896/B12*100)</f>
        <v>84.628872004675628</v>
      </c>
      <c r="D12" s="15">
        <v>526</v>
      </c>
      <c r="E12" s="14">
        <v>32.236715799999999</v>
      </c>
      <c r="F12" s="16">
        <v>2.3132437399999999</v>
      </c>
      <c r="G12" s="14">
        <v>67.763284200000001</v>
      </c>
      <c r="H12" s="16">
        <v>2.3132437399999999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(3034/B13*100)</f>
        <v>84.230982787340366</v>
      </c>
      <c r="D13" s="15">
        <v>568</v>
      </c>
      <c r="E13" s="14">
        <v>26.441824799999999</v>
      </c>
      <c r="F13" s="16">
        <v>2.3975309400000002</v>
      </c>
      <c r="G13" s="14">
        <v>73.558175199999994</v>
      </c>
      <c r="H13" s="16">
        <v>2.3975309400000002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(2319/B14*100)</f>
        <v>83.177905308464844</v>
      </c>
      <c r="D14" s="15">
        <v>469</v>
      </c>
      <c r="E14" s="14">
        <v>18.022744629999998</v>
      </c>
      <c r="F14" s="16">
        <v>2.03149121</v>
      </c>
      <c r="G14" s="14">
        <v>81.977255369999995</v>
      </c>
      <c r="H14" s="16">
        <v>2.03149121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(2378/B15*100)</f>
        <v>83.059727558505074</v>
      </c>
      <c r="D15" s="15">
        <v>485</v>
      </c>
      <c r="E15" s="14">
        <v>13.31918535</v>
      </c>
      <c r="F15" s="16">
        <v>1.75594144</v>
      </c>
      <c r="G15" s="14">
        <v>86.680814650000002</v>
      </c>
      <c r="H15" s="16">
        <v>1.75594144</v>
      </c>
      <c r="I15" s="14" t="s">
        <v>139</v>
      </c>
      <c r="J15" s="16" t="s">
        <v>139</v>
      </c>
      <c r="K15" s="14">
        <v>0</v>
      </c>
      <c r="L15" s="16">
        <v>0</v>
      </c>
      <c r="M15" s="14">
        <v>0</v>
      </c>
      <c r="N15" s="16">
        <v>0</v>
      </c>
      <c r="O15" s="14">
        <v>0</v>
      </c>
      <c r="P15" s="16">
        <v>0</v>
      </c>
      <c r="Q15" s="14">
        <v>0</v>
      </c>
      <c r="R15" s="16">
        <v>0</v>
      </c>
    </row>
    <row r="16" spans="1:18" x14ac:dyDescent="0.25">
      <c r="A16" s="11" t="s">
        <v>148</v>
      </c>
      <c r="B16" s="13">
        <v>3111</v>
      </c>
      <c r="C16" s="14">
        <f>(2593/B16*100)</f>
        <v>83.349405335904862</v>
      </c>
      <c r="D16" s="15">
        <v>518</v>
      </c>
      <c r="E16" s="14">
        <v>28.17106647</v>
      </c>
      <c r="F16" s="16">
        <v>1.9578698400000001</v>
      </c>
      <c r="G16" s="14">
        <v>71.82893353</v>
      </c>
      <c r="H16" s="16">
        <v>1.9578698400000001</v>
      </c>
      <c r="I16" s="14" t="s">
        <v>139</v>
      </c>
      <c r="J16" s="16" t="s">
        <v>139</v>
      </c>
      <c r="K16" s="14">
        <v>0</v>
      </c>
      <c r="L16" s="16">
        <v>0</v>
      </c>
      <c r="M16" s="14">
        <v>0</v>
      </c>
      <c r="N16" s="16">
        <v>0</v>
      </c>
      <c r="O16" s="14">
        <v>0</v>
      </c>
      <c r="P16" s="16">
        <v>0</v>
      </c>
      <c r="Q16" s="14">
        <v>0</v>
      </c>
      <c r="R16" s="16">
        <v>0</v>
      </c>
    </row>
    <row r="17" spans="1:18" x14ac:dyDescent="0.25">
      <c r="A17" s="11" t="s">
        <v>149</v>
      </c>
      <c r="B17" s="13">
        <v>3197</v>
      </c>
      <c r="C17" s="14">
        <f>(2645/B17*100)</f>
        <v>82.733812949640281</v>
      </c>
      <c r="D17" s="15">
        <v>552</v>
      </c>
      <c r="E17" s="14">
        <v>26.269361809999999</v>
      </c>
      <c r="F17" s="16">
        <v>2.1059057600000002</v>
      </c>
      <c r="G17" s="14">
        <v>73.730638189999993</v>
      </c>
      <c r="H17" s="16">
        <v>2.1059057600000002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(2244/B18*100)</f>
        <v>82.926829268292678</v>
      </c>
      <c r="D18" s="15">
        <v>462</v>
      </c>
      <c r="E18" s="14">
        <v>35.166007729999997</v>
      </c>
      <c r="F18" s="16">
        <v>2.2582857600000001</v>
      </c>
      <c r="G18" s="14">
        <v>64.833992269999996</v>
      </c>
      <c r="H18" s="16">
        <v>2.2582857600000001</v>
      </c>
      <c r="I18" s="14" t="s">
        <v>139</v>
      </c>
      <c r="J18" s="16" t="s">
        <v>139</v>
      </c>
      <c r="K18" s="14">
        <v>0</v>
      </c>
      <c r="L18" s="16">
        <v>0</v>
      </c>
      <c r="M18" s="14">
        <v>0</v>
      </c>
      <c r="N18" s="16">
        <v>0</v>
      </c>
      <c r="O18" s="14">
        <v>0</v>
      </c>
      <c r="P18" s="16">
        <v>0</v>
      </c>
      <c r="Q18" s="14">
        <v>0</v>
      </c>
      <c r="R18" s="16">
        <v>0</v>
      </c>
    </row>
    <row r="19" spans="1:18" x14ac:dyDescent="0.25">
      <c r="A19" s="11" t="s">
        <v>151</v>
      </c>
      <c r="B19" s="13">
        <v>2850</v>
      </c>
      <c r="C19" s="14">
        <f>(2398/B19*100)</f>
        <v>84.140350877192986</v>
      </c>
      <c r="D19" s="15">
        <v>452</v>
      </c>
      <c r="E19" s="14">
        <v>37.61059951</v>
      </c>
      <c r="F19" s="16">
        <v>2.5782884699999999</v>
      </c>
      <c r="G19" s="14">
        <v>62.38940049</v>
      </c>
      <c r="H19" s="16">
        <v>2.5782884699999999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(1456/B20*100)</f>
        <v>83.630097645031583</v>
      </c>
      <c r="D20" s="15">
        <v>285</v>
      </c>
      <c r="E20" s="14">
        <v>29.66128518</v>
      </c>
      <c r="F20" s="16">
        <v>2.7072038300000001</v>
      </c>
      <c r="G20" s="14">
        <v>70.338714820000007</v>
      </c>
      <c r="H20" s="16">
        <v>2.7072038300000001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(3154/B22*100)</f>
        <v>86.010362694300511</v>
      </c>
      <c r="D22" s="15">
        <v>513</v>
      </c>
      <c r="E22" s="14">
        <v>31.404351850000001</v>
      </c>
      <c r="F22" s="16">
        <v>2.4840205100000001</v>
      </c>
      <c r="G22" s="14">
        <v>68.595648150000002</v>
      </c>
      <c r="H22" s="16">
        <v>2.4840205100000001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(4822/B23*100)</f>
        <v>83.252762430939228</v>
      </c>
      <c r="D23" s="15">
        <v>970</v>
      </c>
      <c r="E23" s="14">
        <v>33.44450689</v>
      </c>
      <c r="F23" s="16">
        <v>2.1603693499999999</v>
      </c>
      <c r="G23" s="14">
        <v>66.55549311</v>
      </c>
      <c r="H23" s="16">
        <v>2.1603693499999999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(2733/B24*100)</f>
        <v>82.592928377153214</v>
      </c>
      <c r="D24" s="15">
        <v>576</v>
      </c>
      <c r="E24" s="14">
        <v>9.3255738000000008</v>
      </c>
      <c r="F24" s="16">
        <v>1.2675100800000001</v>
      </c>
      <c r="G24" s="14">
        <v>90.674426199999999</v>
      </c>
      <c r="H24" s="16">
        <v>1.2675100800000001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(2206/B25*100)</f>
        <v>82.652678905957288</v>
      </c>
      <c r="D25" s="15">
        <v>463</v>
      </c>
      <c r="E25" s="14">
        <v>16.176137090000001</v>
      </c>
      <c r="F25" s="16">
        <v>1.70635771</v>
      </c>
      <c r="G25" s="14">
        <v>83.823862910000003</v>
      </c>
      <c r="H25" s="16">
        <v>1.70635771</v>
      </c>
      <c r="I25" s="14" t="s">
        <v>139</v>
      </c>
      <c r="J25" s="16" t="s">
        <v>139</v>
      </c>
      <c r="K25" s="14">
        <v>0</v>
      </c>
      <c r="L25" s="16">
        <v>0</v>
      </c>
      <c r="M25" s="14">
        <v>0</v>
      </c>
      <c r="N25" s="16">
        <v>0</v>
      </c>
      <c r="O25" s="14">
        <v>0</v>
      </c>
      <c r="P25" s="16">
        <v>0</v>
      </c>
      <c r="Q25" s="14">
        <v>0</v>
      </c>
      <c r="R25" s="16">
        <v>0</v>
      </c>
    </row>
    <row r="26" spans="1:18" x14ac:dyDescent="0.25">
      <c r="A26" s="11" t="s">
        <v>159</v>
      </c>
      <c r="B26" s="13">
        <v>2419</v>
      </c>
      <c r="C26" s="14">
        <f>(1998/B26*100)</f>
        <v>82.596114096734183</v>
      </c>
      <c r="D26" s="15">
        <v>421</v>
      </c>
      <c r="E26" s="14">
        <v>33.305253759999999</v>
      </c>
      <c r="F26" s="16">
        <v>2.5265746199999999</v>
      </c>
      <c r="G26" s="14">
        <v>66.694746240000001</v>
      </c>
      <c r="H26" s="16">
        <v>2.5265746199999999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(2254/B27*100)</f>
        <v>84.010436079016031</v>
      </c>
      <c r="D27" s="15">
        <v>429</v>
      </c>
      <c r="E27" s="14">
        <v>30.050400830000001</v>
      </c>
      <c r="F27" s="16">
        <v>2.1626549800000001</v>
      </c>
      <c r="G27" s="14">
        <v>69.949599169999999</v>
      </c>
      <c r="H27" s="16">
        <v>2.1626549800000001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(3245/B28*100)</f>
        <v>85.327373126479102</v>
      </c>
      <c r="D28" s="15">
        <v>558</v>
      </c>
      <c r="E28" s="14">
        <v>40.273217320000001</v>
      </c>
      <c r="F28" s="16">
        <v>2.2892945099999999</v>
      </c>
      <c r="G28" s="14">
        <v>59.726782679999999</v>
      </c>
      <c r="H28" s="16">
        <v>2.2892945099999999</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(2266/B29*100)</f>
        <v>83.925925925925924</v>
      </c>
      <c r="D29" s="15">
        <v>434</v>
      </c>
      <c r="E29" s="14">
        <v>25.744989799999999</v>
      </c>
      <c r="F29" s="16">
        <v>2.2850323299999999</v>
      </c>
      <c r="G29" s="14">
        <v>74.255010200000001</v>
      </c>
      <c r="H29" s="16">
        <v>2.2850323299999999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(1934/B30*100)</f>
        <v>85.688967656180765</v>
      </c>
      <c r="D30" s="15">
        <v>323</v>
      </c>
      <c r="E30" s="14">
        <v>18.251496459999998</v>
      </c>
      <c r="F30" s="16">
        <v>2.1309349200000001</v>
      </c>
      <c r="G30" s="14">
        <v>81.748503540000002</v>
      </c>
      <c r="H30" s="16">
        <v>2.1309349200000001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(2260/B31*100)</f>
        <v>83.518107908351809</v>
      </c>
      <c r="D31" s="15">
        <v>446</v>
      </c>
      <c r="E31" s="14">
        <v>30.511820140000001</v>
      </c>
      <c r="F31" s="16">
        <v>2.5326082699999999</v>
      </c>
      <c r="G31" s="14">
        <v>69.488179860000002</v>
      </c>
      <c r="H31" s="16">
        <v>2.5326082699999999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(3081/B33*100)</f>
        <v>84.387838948233366</v>
      </c>
      <c r="D33" s="15">
        <v>570</v>
      </c>
      <c r="E33" s="14">
        <v>29.043666999999999</v>
      </c>
      <c r="F33" s="16">
        <v>2.22549595</v>
      </c>
      <c r="G33" s="14">
        <v>70.956333000000001</v>
      </c>
      <c r="H33" s="16">
        <v>2.22549595</v>
      </c>
      <c r="I33" s="14" t="s">
        <v>139</v>
      </c>
      <c r="J33" s="16" t="s">
        <v>139</v>
      </c>
      <c r="K33" s="14">
        <v>0</v>
      </c>
      <c r="L33" s="16">
        <v>0</v>
      </c>
      <c r="M33" s="14">
        <v>0</v>
      </c>
      <c r="N33" s="16">
        <v>0</v>
      </c>
      <c r="O33" s="14">
        <v>0</v>
      </c>
      <c r="P33" s="16">
        <v>0</v>
      </c>
      <c r="Q33" s="14">
        <v>0</v>
      </c>
      <c r="R33" s="16">
        <v>0</v>
      </c>
    </row>
    <row r="34" spans="1:18" x14ac:dyDescent="0.25">
      <c r="A34" s="11" t="s">
        <v>167</v>
      </c>
      <c r="B34" s="13">
        <v>3035</v>
      </c>
      <c r="C34" s="14">
        <f>(2566/B34*100)</f>
        <v>84.546952224052717</v>
      </c>
      <c r="D34" s="15">
        <v>469</v>
      </c>
      <c r="E34" s="14">
        <v>32.095139060000001</v>
      </c>
      <c r="F34" s="16">
        <v>2.4113000000000002</v>
      </c>
      <c r="G34" s="14">
        <v>67.904860940000006</v>
      </c>
      <c r="H34" s="16">
        <v>2.4113000000000002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(2428/B35*100)</f>
        <v>83.69527749052051</v>
      </c>
      <c r="D35" s="15">
        <v>473</v>
      </c>
      <c r="E35" s="14">
        <v>27.431535100000001</v>
      </c>
      <c r="F35" s="16">
        <v>2.4358252999999999</v>
      </c>
      <c r="G35" s="14">
        <v>72.568464899999995</v>
      </c>
      <c r="H35" s="16">
        <v>2.4358252999999999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(2876/B36*100)</f>
        <v>84.488836662749705</v>
      </c>
      <c r="D36" s="15">
        <v>528</v>
      </c>
      <c r="E36" s="14">
        <v>32.517197330000002</v>
      </c>
      <c r="F36" s="16">
        <v>2.5623311800000002</v>
      </c>
      <c r="G36" s="14">
        <v>67.482802669999998</v>
      </c>
      <c r="H36" s="16">
        <v>2.5623311800000002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(2304/B37*100)</f>
        <v>84.364701574514839</v>
      </c>
      <c r="D37" s="15">
        <v>427</v>
      </c>
      <c r="E37" s="14">
        <v>23.632955630000001</v>
      </c>
      <c r="F37" s="16">
        <v>2.0851413499999998</v>
      </c>
      <c r="G37" s="14">
        <v>76.367044370000002</v>
      </c>
      <c r="H37" s="16">
        <v>2.0851413499999998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(2419/B39*100)</f>
        <v>82.334921715452694</v>
      </c>
      <c r="D39" s="15">
        <v>519</v>
      </c>
      <c r="E39" s="14">
        <v>40.049084970000003</v>
      </c>
      <c r="F39" s="16">
        <v>2.2668108899999999</v>
      </c>
      <c r="G39" s="14">
        <v>59.950915029999997</v>
      </c>
      <c r="H39" s="16">
        <v>2.2668108899999999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(5755/B40*100)</f>
        <v>83.140710777232016</v>
      </c>
      <c r="D40" s="15">
        <v>1167</v>
      </c>
      <c r="E40" s="14">
        <v>23.864129519999999</v>
      </c>
      <c r="F40" s="16">
        <v>1.64874225</v>
      </c>
      <c r="G40" s="14">
        <v>76.135870479999994</v>
      </c>
      <c r="H40" s="16">
        <v>1.64874225</v>
      </c>
      <c r="I40" s="14" t="s">
        <v>139</v>
      </c>
      <c r="J40" s="16" t="s">
        <v>139</v>
      </c>
      <c r="K40" s="14">
        <v>0</v>
      </c>
      <c r="L40" s="16">
        <v>0</v>
      </c>
      <c r="M40" s="14">
        <v>0</v>
      </c>
      <c r="N40" s="16">
        <v>0</v>
      </c>
      <c r="O40" s="14">
        <v>0</v>
      </c>
      <c r="P40" s="16">
        <v>0</v>
      </c>
      <c r="Q40" s="14">
        <v>0</v>
      </c>
      <c r="R40" s="16">
        <v>0</v>
      </c>
    </row>
    <row r="41" spans="1:18" x14ac:dyDescent="0.25">
      <c r="A41" s="11" t="s">
        <v>174</v>
      </c>
      <c r="B41" s="13">
        <v>2854</v>
      </c>
      <c r="C41" s="14">
        <f>(2378/B41*100)</f>
        <v>83.321653819201131</v>
      </c>
      <c r="D41" s="15">
        <v>476</v>
      </c>
      <c r="E41" s="14">
        <v>28.700133090000001</v>
      </c>
      <c r="F41" s="16">
        <v>2.6900816600000002</v>
      </c>
      <c r="G41" s="14">
        <v>71.299866910000006</v>
      </c>
      <c r="H41" s="16">
        <v>2.6900816600000002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83.765661303866892</v>
      </c>
      <c r="D42" s="15">
        <f>IF(COUNT(D7:D41) &gt; 0, AVERAGE(D7:D41), "—")</f>
        <v>587.25</v>
      </c>
      <c r="E42" s="14">
        <f>IF(COUNT(E7:E41) &gt; 0, AVERAGE(E7:E41), "—")</f>
        <v>27.7688387265625</v>
      </c>
      <c r="F42" s="16">
        <f>IF(COUNT(F7:F41) &gt; 0, SQRT(SUMSQ(F7:F41)/(COUNT(F7:F41)*COUNT(F7:F41)) ), "—")</f>
        <v>0.38643871716392963</v>
      </c>
      <c r="G42" s="14">
        <f>IF(COUNT(G7:G41) &gt; 0, AVERAGE(G7:G41), "—")</f>
        <v>72.231161273437507</v>
      </c>
      <c r="H42" s="16">
        <f>IF(COUNT(H7:H41) &gt; 0, SQRT(SUMSQ(H7:H41)/(COUNT(H7:H41)*COUNT(H7:H41)) ), "—")</f>
        <v>0.38643871716392963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(10715/B46*100)</f>
        <v>88.751760125900773</v>
      </c>
      <c r="D46" s="15">
        <v>1358</v>
      </c>
      <c r="E46" s="14">
        <v>54.153736979999998</v>
      </c>
      <c r="F46" s="16">
        <v>1.85912246</v>
      </c>
      <c r="G46" s="14">
        <v>45.846263020000002</v>
      </c>
      <c r="H46" s="16">
        <v>1.85912246</v>
      </c>
      <c r="I46" s="14" t="s">
        <v>139</v>
      </c>
      <c r="J46" s="16" t="s">
        <v>139</v>
      </c>
      <c r="K46" s="14">
        <v>0</v>
      </c>
      <c r="L46" s="16">
        <v>0</v>
      </c>
      <c r="M46" s="14">
        <v>0</v>
      </c>
      <c r="N46" s="16">
        <v>0</v>
      </c>
      <c r="O46" s="14">
        <v>0</v>
      </c>
      <c r="P46" s="16">
        <v>0</v>
      </c>
      <c r="Q46" s="14">
        <v>0</v>
      </c>
      <c r="R46" s="16">
        <v>0</v>
      </c>
    </row>
    <row r="47" spans="1:18" x14ac:dyDescent="0.25">
      <c r="A47" s="11" t="s">
        <v>180</v>
      </c>
      <c r="B47" s="13">
        <v>2823</v>
      </c>
      <c r="C47" s="14">
        <f>(2372/B47*100)</f>
        <v>84.02408784980517</v>
      </c>
      <c r="D47" s="15">
        <v>451</v>
      </c>
      <c r="E47" s="14">
        <v>46.320009759999998</v>
      </c>
      <c r="F47" s="16">
        <v>2.27130915</v>
      </c>
      <c r="G47" s="14">
        <v>53.679990240000002</v>
      </c>
      <c r="H47" s="16">
        <v>2.27130915</v>
      </c>
      <c r="I47" s="14" t="s">
        <v>139</v>
      </c>
      <c r="J47" s="16" t="s">
        <v>139</v>
      </c>
      <c r="K47" s="14">
        <v>0</v>
      </c>
      <c r="L47" s="16">
        <v>0</v>
      </c>
      <c r="M47" s="14">
        <v>0</v>
      </c>
      <c r="N47" s="16">
        <v>0</v>
      </c>
      <c r="O47" s="14">
        <v>0</v>
      </c>
      <c r="P47" s="16">
        <v>0</v>
      </c>
      <c r="Q47" s="14">
        <v>0</v>
      </c>
      <c r="R47" s="16">
        <v>0</v>
      </c>
    </row>
    <row r="48" spans="1:18" x14ac:dyDescent="0.25">
      <c r="A48" s="11" t="s">
        <v>181</v>
      </c>
      <c r="B48" s="13">
        <v>4682</v>
      </c>
      <c r="C48" s="14">
        <f>(3905/B48*100)</f>
        <v>83.404527979495953</v>
      </c>
      <c r="D48" s="15">
        <v>777</v>
      </c>
      <c r="E48" s="14">
        <v>37.669067579999997</v>
      </c>
      <c r="F48" s="16">
        <v>2.42933837</v>
      </c>
      <c r="G48" s="14">
        <v>62.330932420000003</v>
      </c>
      <c r="H48" s="16">
        <v>2.42933837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(5217/B50*100)</f>
        <v>84.719064631373826</v>
      </c>
      <c r="D50" s="15">
        <v>941</v>
      </c>
      <c r="E50" s="14">
        <v>37.416643999999998</v>
      </c>
      <c r="F50" s="16">
        <v>2.0516234400000002</v>
      </c>
      <c r="G50" s="14">
        <v>62.583356000000002</v>
      </c>
      <c r="H50" s="16">
        <v>2.0516234400000002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(3036/B51*100)</f>
        <v>86.891814539210074</v>
      </c>
      <c r="D51" s="15">
        <v>458</v>
      </c>
      <c r="E51" s="14">
        <v>52.879871369999996</v>
      </c>
      <c r="F51" s="16">
        <v>2.48990066</v>
      </c>
      <c r="G51" s="14">
        <v>47.120128630000004</v>
      </c>
      <c r="H51" s="16">
        <v>2.48990066</v>
      </c>
      <c r="I51" s="14" t="s">
        <v>139</v>
      </c>
      <c r="J51" s="16" t="s">
        <v>139</v>
      </c>
      <c r="K51" s="14">
        <v>0</v>
      </c>
      <c r="L51" s="16">
        <v>0</v>
      </c>
      <c r="M51" s="14">
        <v>0</v>
      </c>
      <c r="N51" s="16">
        <v>0</v>
      </c>
      <c r="O51" s="14">
        <v>0</v>
      </c>
      <c r="P51" s="16">
        <v>0</v>
      </c>
      <c r="Q51" s="14">
        <v>0</v>
      </c>
      <c r="R51" s="16">
        <v>0</v>
      </c>
    </row>
    <row r="52" spans="1:18" x14ac:dyDescent="0.25">
      <c r="A52" s="11" t="s">
        <v>185</v>
      </c>
      <c r="B52" s="13">
        <v>3013</v>
      </c>
      <c r="C52" s="14">
        <f>(2506/B52*100)</f>
        <v>83.172917358114844</v>
      </c>
      <c r="D52" s="15">
        <v>507</v>
      </c>
      <c r="E52" s="14">
        <v>26.125076920000001</v>
      </c>
      <c r="F52" s="16">
        <v>1.8857966900000001</v>
      </c>
      <c r="G52" s="14">
        <v>73.874923080000002</v>
      </c>
      <c r="H52" s="16">
        <v>1.8857966900000001</v>
      </c>
      <c r="I52" s="14" t="s">
        <v>139</v>
      </c>
      <c r="J52" s="16" t="s">
        <v>139</v>
      </c>
      <c r="K52" s="14">
        <v>0</v>
      </c>
      <c r="L52" s="16">
        <v>0</v>
      </c>
      <c r="M52" s="14">
        <v>0</v>
      </c>
      <c r="N52" s="16">
        <v>0</v>
      </c>
      <c r="O52" s="14">
        <v>0</v>
      </c>
      <c r="P52" s="16">
        <v>0</v>
      </c>
      <c r="Q52" s="14">
        <v>0</v>
      </c>
      <c r="R52" s="16">
        <v>0</v>
      </c>
    </row>
    <row r="53" spans="1:18" x14ac:dyDescent="0.25">
      <c r="A53" s="11" t="s">
        <v>186</v>
      </c>
      <c r="B53" s="13">
        <v>2760</v>
      </c>
      <c r="C53" s="14">
        <f>(2338/B53*100)</f>
        <v>84.710144927536234</v>
      </c>
      <c r="D53" s="15">
        <v>422</v>
      </c>
      <c r="E53" s="14">
        <v>48.693990210000003</v>
      </c>
      <c r="F53" s="16">
        <v>2.3597380100000001</v>
      </c>
      <c r="G53" s="14">
        <v>51.306009789999997</v>
      </c>
      <c r="H53" s="16">
        <v>2.3597380100000001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(2210/B56*100)</f>
        <v>82.616822429906549</v>
      </c>
      <c r="D56" s="15">
        <v>465</v>
      </c>
      <c r="E56" s="14">
        <v>20.730191520000002</v>
      </c>
      <c r="F56" s="16">
        <v>2.0503977</v>
      </c>
      <c r="G56" s="14">
        <v>79.269808479999995</v>
      </c>
      <c r="H56" s="16">
        <v>2.0503977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(2666/B61*100)</f>
        <v>83.28647297719462</v>
      </c>
      <c r="D61" s="15">
        <v>535</v>
      </c>
      <c r="E61" s="14">
        <v>28.69922189</v>
      </c>
      <c r="F61" s="16">
        <v>2.0420722100000002</v>
      </c>
      <c r="G61" s="14">
        <v>71.300778109999996</v>
      </c>
      <c r="H61" s="16">
        <v>2.0420722100000002</v>
      </c>
      <c r="I61" s="14" t="s">
        <v>139</v>
      </c>
      <c r="J61" s="16" t="s">
        <v>139</v>
      </c>
      <c r="K61" s="14">
        <v>0</v>
      </c>
      <c r="L61" s="16">
        <v>0</v>
      </c>
      <c r="M61" s="14">
        <v>0</v>
      </c>
      <c r="N61" s="16">
        <v>0</v>
      </c>
      <c r="O61" s="14">
        <v>0</v>
      </c>
      <c r="P61" s="16">
        <v>0</v>
      </c>
      <c r="Q61" s="14">
        <v>0</v>
      </c>
      <c r="R61" s="16">
        <v>0</v>
      </c>
    </row>
    <row r="62" spans="1:18" x14ac:dyDescent="0.25">
      <c r="A62" s="11" t="s">
        <v>195</v>
      </c>
      <c r="B62" s="13">
        <v>2230</v>
      </c>
      <c r="C62" s="14">
        <f>(1871/B62*100)</f>
        <v>83.901345291479828</v>
      </c>
      <c r="D62" s="15">
        <v>359</v>
      </c>
      <c r="E62" s="14">
        <v>25.44713351</v>
      </c>
      <c r="F62" s="16">
        <v>2.0515132899999999</v>
      </c>
      <c r="G62" s="14">
        <v>74.55286649</v>
      </c>
      <c r="H62" s="16">
        <v>2.0515132899999999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(2319/B66*100)</f>
        <v>83.688199206062791</v>
      </c>
      <c r="D66" s="15">
        <v>452</v>
      </c>
      <c r="E66" s="14">
        <v>56.385821790000001</v>
      </c>
      <c r="F66" s="16">
        <v>2.2813367699999998</v>
      </c>
      <c r="G66" s="14">
        <v>43.614178209999999</v>
      </c>
      <c r="H66" s="16">
        <v>2.2813367699999998</v>
      </c>
      <c r="I66" s="14" t="s">
        <v>139</v>
      </c>
      <c r="J66" s="16" t="s">
        <v>139</v>
      </c>
      <c r="K66" s="14">
        <v>0</v>
      </c>
      <c r="L66" s="16">
        <v>0</v>
      </c>
      <c r="M66" s="14">
        <v>0</v>
      </c>
      <c r="N66" s="16">
        <v>0</v>
      </c>
      <c r="O66" s="14">
        <v>0</v>
      </c>
      <c r="P66" s="16">
        <v>0</v>
      </c>
      <c r="Q66" s="14">
        <v>0</v>
      </c>
      <c r="R66" s="16">
        <v>0</v>
      </c>
    </row>
    <row r="67" spans="1:18" x14ac:dyDescent="0.25">
      <c r="A67" s="11" t="s">
        <v>200</v>
      </c>
      <c r="B67" s="13">
        <v>3460</v>
      </c>
      <c r="C67" s="14">
        <f>(3015/B67*100)</f>
        <v>87.138728323699425</v>
      </c>
      <c r="D67" s="15">
        <v>445</v>
      </c>
      <c r="E67" s="14">
        <v>42.547964899999997</v>
      </c>
      <c r="F67" s="16">
        <v>2.4239052700000001</v>
      </c>
      <c r="G67" s="14">
        <v>57.452035100000003</v>
      </c>
      <c r="H67" s="16">
        <v>2.4239052700000001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(2604/B70*100)</f>
        <v>83.810749919536534</v>
      </c>
      <c r="D70" s="15">
        <v>503</v>
      </c>
      <c r="E70" s="14">
        <v>35.378940180000001</v>
      </c>
      <c r="F70" s="16">
        <v>2.2088014899999999</v>
      </c>
      <c r="G70" s="14">
        <v>64.621059819999999</v>
      </c>
      <c r="H70" s="16">
        <v>2.2088014899999999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(3157/B72*100)</f>
        <v>82.665619272060752</v>
      </c>
      <c r="D72" s="15">
        <v>662</v>
      </c>
      <c r="E72" s="14">
        <v>21.139471050000001</v>
      </c>
      <c r="F72" s="16">
        <v>1.5777960600000001</v>
      </c>
      <c r="G72" s="14">
        <v>78.860528950000003</v>
      </c>
      <c r="H72" s="16">
        <v>1.5777960600000001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(3969/B73*100)</f>
        <v>85.318142734307827</v>
      </c>
      <c r="D73" s="15">
        <v>683</v>
      </c>
      <c r="E73" s="14">
        <v>48.391848860000003</v>
      </c>
      <c r="F73" s="16">
        <v>2.2209824899999999</v>
      </c>
      <c r="G73" s="14">
        <v>51.608151139999997</v>
      </c>
      <c r="H73" s="16">
        <v>2.2209824899999999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(2543/B75*100)</f>
        <v>85.651734590771298</v>
      </c>
      <c r="D75" s="15">
        <v>426</v>
      </c>
      <c r="E75" s="14">
        <v>63.514855679999997</v>
      </c>
      <c r="F75" s="16">
        <v>2.4190482200000001</v>
      </c>
      <c r="G75" s="14">
        <v>36.485144320000003</v>
      </c>
      <c r="H75" s="16">
        <v>2.4190482200000001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(5922/B76*100)</f>
        <v>83.232607167955024</v>
      </c>
      <c r="D76" s="15">
        <v>1193</v>
      </c>
      <c r="E76" s="14">
        <v>51.956050599999998</v>
      </c>
      <c r="F76" s="16">
        <v>2.0148001999999998</v>
      </c>
      <c r="G76" s="14">
        <v>48.043949400000002</v>
      </c>
      <c r="H76" s="16">
        <v>2.0148001999999998</v>
      </c>
      <c r="I76" s="14" t="s">
        <v>139</v>
      </c>
      <c r="J76" s="16" t="s">
        <v>139</v>
      </c>
      <c r="K76" s="14">
        <v>0</v>
      </c>
      <c r="L76" s="16">
        <v>0</v>
      </c>
      <c r="M76" s="14">
        <v>0</v>
      </c>
      <c r="N76" s="16">
        <v>0</v>
      </c>
      <c r="O76" s="14">
        <v>0</v>
      </c>
      <c r="P76" s="16">
        <v>0</v>
      </c>
      <c r="Q76" s="14">
        <v>0</v>
      </c>
      <c r="R76" s="16">
        <v>0</v>
      </c>
    </row>
    <row r="77" spans="1:18" x14ac:dyDescent="0.25">
      <c r="A77" s="11" t="s">
        <v>210</v>
      </c>
      <c r="B77" s="13">
        <v>3154</v>
      </c>
      <c r="C77" s="14">
        <f>(2678/B77*100)</f>
        <v>84.908053265694363</v>
      </c>
      <c r="D77" s="15">
        <v>476</v>
      </c>
      <c r="E77" s="14">
        <v>42.979477520000003</v>
      </c>
      <c r="F77" s="16">
        <v>2.2110088399999999</v>
      </c>
      <c r="G77" s="14">
        <v>57.020522479999997</v>
      </c>
      <c r="H77" s="16">
        <v>2.2110088399999999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(3914/B81*100)</f>
        <v>83.312047679863781</v>
      </c>
      <c r="D81" s="15">
        <v>784</v>
      </c>
      <c r="E81" s="14">
        <v>48.287081360000002</v>
      </c>
      <c r="F81" s="16">
        <v>2.1222354499999998</v>
      </c>
      <c r="G81" s="14">
        <v>51.712918639999998</v>
      </c>
      <c r="H81" s="16">
        <v>2.1222354499999998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349</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(5995/B7*100)</f>
        <v>83.693982968030156</v>
      </c>
      <c r="D7" s="15">
        <v>1168</v>
      </c>
      <c r="E7" s="14">
        <v>50.075803530000002</v>
      </c>
      <c r="F7" s="16">
        <v>1.5670582</v>
      </c>
      <c r="G7" s="14">
        <v>12.474738329999999</v>
      </c>
      <c r="H7" s="16">
        <v>1.0902054800000001</v>
      </c>
      <c r="I7" s="14">
        <v>37.449458139999997</v>
      </c>
      <c r="J7" s="16">
        <v>1.6097613500000001</v>
      </c>
      <c r="K7" s="14" t="s">
        <v>139</v>
      </c>
      <c r="L7" s="16" t="s">
        <v>139</v>
      </c>
      <c r="M7" s="14">
        <v>0</v>
      </c>
      <c r="N7" s="16">
        <v>0</v>
      </c>
      <c r="O7" s="14">
        <v>0</v>
      </c>
      <c r="P7" s="16">
        <v>0</v>
      </c>
      <c r="Q7" s="14">
        <v>0</v>
      </c>
      <c r="R7" s="16">
        <v>0</v>
      </c>
      <c r="S7" s="14">
        <v>0</v>
      </c>
      <c r="T7" s="16">
        <v>0</v>
      </c>
    </row>
    <row r="8" spans="1:20" x14ac:dyDescent="0.25">
      <c r="A8" s="11" t="s">
        <v>140</v>
      </c>
      <c r="B8" s="13">
        <v>3443</v>
      </c>
      <c r="C8" s="14">
        <f>(2856/B8*100)</f>
        <v>82.950914899796686</v>
      </c>
      <c r="D8" s="15">
        <v>587</v>
      </c>
      <c r="E8" s="14">
        <v>59.131811970000001</v>
      </c>
      <c r="F8" s="16">
        <v>1.7691664499999999</v>
      </c>
      <c r="G8" s="14">
        <v>16.41042384</v>
      </c>
      <c r="H8" s="16">
        <v>1.8221865900000001</v>
      </c>
      <c r="I8" s="14">
        <v>24.457764180000002</v>
      </c>
      <c r="J8" s="16">
        <v>1.9591914100000001</v>
      </c>
      <c r="K8" s="14" t="s">
        <v>139</v>
      </c>
      <c r="L8" s="16" t="s">
        <v>139</v>
      </c>
      <c r="M8" s="14">
        <v>0</v>
      </c>
      <c r="N8" s="16">
        <v>0</v>
      </c>
      <c r="O8" s="14">
        <v>0</v>
      </c>
      <c r="P8" s="16">
        <v>0</v>
      </c>
      <c r="Q8" s="14">
        <v>0</v>
      </c>
      <c r="R8" s="16">
        <v>0</v>
      </c>
      <c r="S8" s="14">
        <v>0</v>
      </c>
      <c r="T8" s="16">
        <v>0</v>
      </c>
    </row>
    <row r="9" spans="1:20" x14ac:dyDescent="0.25">
      <c r="A9" s="11" t="s">
        <v>141</v>
      </c>
      <c r="B9" s="13">
        <v>4752</v>
      </c>
      <c r="C9" s="14">
        <f>(4015/B9*100)</f>
        <v>84.490740740740748</v>
      </c>
      <c r="D9" s="15">
        <v>737</v>
      </c>
      <c r="E9" s="14">
        <v>58.727552639999999</v>
      </c>
      <c r="F9" s="16">
        <v>1.92672512</v>
      </c>
      <c r="G9" s="14">
        <v>11.302631979999999</v>
      </c>
      <c r="H9" s="16">
        <v>1.16683771</v>
      </c>
      <c r="I9" s="14">
        <v>29.96981538</v>
      </c>
      <c r="J9" s="16">
        <v>1.8248382400000001</v>
      </c>
      <c r="K9" s="14" t="s">
        <v>139</v>
      </c>
      <c r="L9" s="16" t="s">
        <v>139</v>
      </c>
      <c r="M9" s="14">
        <v>0</v>
      </c>
      <c r="N9" s="16">
        <v>0</v>
      </c>
      <c r="O9" s="14">
        <v>0</v>
      </c>
      <c r="P9" s="16">
        <v>0</v>
      </c>
      <c r="Q9" s="14">
        <v>0</v>
      </c>
      <c r="R9" s="16">
        <v>0</v>
      </c>
      <c r="S9" s="14">
        <v>0</v>
      </c>
      <c r="T9" s="16">
        <v>0</v>
      </c>
    </row>
    <row r="10" spans="1:20" x14ac:dyDescent="0.25">
      <c r="A10" s="11" t="s">
        <v>142</v>
      </c>
      <c r="B10" s="13">
        <v>10022</v>
      </c>
      <c r="C10" s="14">
        <f>(8350/B10*100)</f>
        <v>83.316703252843752</v>
      </c>
      <c r="D10" s="15">
        <v>1672</v>
      </c>
      <c r="E10" s="14">
        <v>48.761799150000002</v>
      </c>
      <c r="F10" s="16">
        <v>1.6323432600000001</v>
      </c>
      <c r="G10" s="14">
        <v>12.377940649999999</v>
      </c>
      <c r="H10" s="16">
        <v>1.3168411799999999</v>
      </c>
      <c r="I10" s="14">
        <v>38.860260199999999</v>
      </c>
      <c r="J10" s="16">
        <v>1.7851306300000001</v>
      </c>
      <c r="K10" s="14" t="s">
        <v>139</v>
      </c>
      <c r="L10" s="16" t="s">
        <v>139</v>
      </c>
      <c r="M10" s="14">
        <v>0</v>
      </c>
      <c r="N10" s="16">
        <v>0</v>
      </c>
      <c r="O10" s="14">
        <v>0</v>
      </c>
      <c r="P10" s="16">
        <v>0</v>
      </c>
      <c r="Q10" s="14">
        <v>0</v>
      </c>
      <c r="R10" s="16">
        <v>0</v>
      </c>
      <c r="S10" s="14">
        <v>0</v>
      </c>
      <c r="T10" s="16">
        <v>0</v>
      </c>
    </row>
    <row r="11" spans="1:20" x14ac:dyDescent="0.25">
      <c r="A11" s="11" t="s">
        <v>143</v>
      </c>
      <c r="B11" s="13">
        <v>3500</v>
      </c>
      <c r="C11" s="14">
        <f>(2951/B11*100)</f>
        <v>84.314285714285717</v>
      </c>
      <c r="D11" s="15">
        <v>549</v>
      </c>
      <c r="E11" s="14">
        <v>67.096174140000002</v>
      </c>
      <c r="F11" s="16">
        <v>2.4829571499999998</v>
      </c>
      <c r="G11" s="14">
        <v>16.972783939999999</v>
      </c>
      <c r="H11" s="16">
        <v>2.0802114500000002</v>
      </c>
      <c r="I11" s="14">
        <v>15.93104192</v>
      </c>
      <c r="J11" s="16">
        <v>1.6884315999999999</v>
      </c>
      <c r="K11" s="14" t="s">
        <v>139</v>
      </c>
      <c r="L11" s="16" t="s">
        <v>139</v>
      </c>
      <c r="M11" s="14">
        <v>0</v>
      </c>
      <c r="N11" s="16">
        <v>0</v>
      </c>
      <c r="O11" s="14">
        <v>0</v>
      </c>
      <c r="P11" s="16">
        <v>0</v>
      </c>
      <c r="Q11" s="14">
        <v>0</v>
      </c>
      <c r="R11" s="16">
        <v>0</v>
      </c>
      <c r="S11" s="14">
        <v>0</v>
      </c>
      <c r="T11" s="16">
        <v>0</v>
      </c>
    </row>
    <row r="12" spans="1:20" x14ac:dyDescent="0.25">
      <c r="A12" s="11" t="s">
        <v>144</v>
      </c>
      <c r="B12" s="13">
        <v>3422</v>
      </c>
      <c r="C12" s="14">
        <f>(2896/B12*100)</f>
        <v>84.628872004675628</v>
      </c>
      <c r="D12" s="15">
        <v>526</v>
      </c>
      <c r="E12" s="14">
        <v>60.357675960000002</v>
      </c>
      <c r="F12" s="16">
        <v>2.4607673399999999</v>
      </c>
      <c r="G12" s="14">
        <v>11.53001682</v>
      </c>
      <c r="H12" s="16">
        <v>1.66026089</v>
      </c>
      <c r="I12" s="14">
        <v>28.112307220000002</v>
      </c>
      <c r="J12" s="16">
        <v>2.1443597099999998</v>
      </c>
      <c r="K12" s="14" t="s">
        <v>139</v>
      </c>
      <c r="L12" s="16" t="s">
        <v>139</v>
      </c>
      <c r="M12" s="14">
        <v>0</v>
      </c>
      <c r="N12" s="16">
        <v>0</v>
      </c>
      <c r="O12" s="14">
        <v>0</v>
      </c>
      <c r="P12" s="16">
        <v>0</v>
      </c>
      <c r="Q12" s="14">
        <v>0</v>
      </c>
      <c r="R12" s="16">
        <v>0</v>
      </c>
      <c r="S12" s="14">
        <v>0</v>
      </c>
      <c r="T12" s="16">
        <v>0</v>
      </c>
    </row>
    <row r="13" spans="1:20" x14ac:dyDescent="0.25">
      <c r="A13" s="11" t="s">
        <v>145</v>
      </c>
      <c r="B13" s="13">
        <v>3602</v>
      </c>
      <c r="C13" s="14">
        <f>(3034/B13*100)</f>
        <v>84.230982787340366</v>
      </c>
      <c r="D13" s="15">
        <v>568</v>
      </c>
      <c r="E13" s="14">
        <v>51.455528530000002</v>
      </c>
      <c r="F13" s="16">
        <v>2.5397970600000002</v>
      </c>
      <c r="G13" s="14">
        <v>10.44260905</v>
      </c>
      <c r="H13" s="16">
        <v>1.61301289</v>
      </c>
      <c r="I13" s="14">
        <v>38.101862410000003</v>
      </c>
      <c r="J13" s="16">
        <v>2.27405715</v>
      </c>
      <c r="K13" s="14" t="s">
        <v>139</v>
      </c>
      <c r="L13" s="16" t="s">
        <v>139</v>
      </c>
      <c r="M13" s="14">
        <v>0</v>
      </c>
      <c r="N13" s="16">
        <v>0</v>
      </c>
      <c r="O13" s="14">
        <v>0</v>
      </c>
      <c r="P13" s="16">
        <v>0</v>
      </c>
      <c r="Q13" s="14">
        <v>0</v>
      </c>
      <c r="R13" s="16">
        <v>0</v>
      </c>
      <c r="S13" s="14">
        <v>0</v>
      </c>
      <c r="T13" s="16">
        <v>0</v>
      </c>
    </row>
    <row r="14" spans="1:20" x14ac:dyDescent="0.25">
      <c r="A14" s="11" t="s">
        <v>146</v>
      </c>
      <c r="B14" s="13">
        <v>2788</v>
      </c>
      <c r="C14" s="14">
        <f>(2319/B14*100)</f>
        <v>83.177905308464844</v>
      </c>
      <c r="D14" s="15">
        <v>469</v>
      </c>
      <c r="E14" s="14">
        <v>51.360521800000001</v>
      </c>
      <c r="F14" s="16">
        <v>2.3840369300000002</v>
      </c>
      <c r="G14" s="14">
        <v>10.91923119</v>
      </c>
      <c r="H14" s="16">
        <v>1.3281533800000001</v>
      </c>
      <c r="I14" s="14">
        <v>37.720247020000002</v>
      </c>
      <c r="J14" s="16">
        <v>2.40389768</v>
      </c>
      <c r="K14" s="14" t="s">
        <v>139</v>
      </c>
      <c r="L14" s="16" t="s">
        <v>139</v>
      </c>
      <c r="M14" s="14">
        <v>0</v>
      </c>
      <c r="N14" s="16">
        <v>0</v>
      </c>
      <c r="O14" s="14">
        <v>0</v>
      </c>
      <c r="P14" s="16">
        <v>0</v>
      </c>
      <c r="Q14" s="14">
        <v>0</v>
      </c>
      <c r="R14" s="16">
        <v>0</v>
      </c>
      <c r="S14" s="14">
        <v>0</v>
      </c>
      <c r="T14" s="16">
        <v>0</v>
      </c>
    </row>
    <row r="15" spans="1:20" x14ac:dyDescent="0.25">
      <c r="A15" s="11" t="s">
        <v>147</v>
      </c>
      <c r="B15" s="13">
        <v>2863</v>
      </c>
      <c r="C15" s="14">
        <f>(2378/B15*100)</f>
        <v>83.059727558505074</v>
      </c>
      <c r="D15" s="15">
        <v>485</v>
      </c>
      <c r="E15" s="14">
        <v>57.47136596</v>
      </c>
      <c r="F15" s="16">
        <v>2.7809485500000002</v>
      </c>
      <c r="G15" s="14">
        <v>7.97820236</v>
      </c>
      <c r="H15" s="16">
        <v>0.99377795000000002</v>
      </c>
      <c r="I15" s="14">
        <v>34.550431670000002</v>
      </c>
      <c r="J15" s="16">
        <v>2.6731957500000001</v>
      </c>
      <c r="K15" s="14" t="s">
        <v>139</v>
      </c>
      <c r="L15" s="16" t="s">
        <v>139</v>
      </c>
      <c r="M15" s="14">
        <v>0</v>
      </c>
      <c r="N15" s="16">
        <v>0</v>
      </c>
      <c r="O15" s="14">
        <v>0</v>
      </c>
      <c r="P15" s="16">
        <v>0</v>
      </c>
      <c r="Q15" s="14">
        <v>0</v>
      </c>
      <c r="R15" s="16">
        <v>0</v>
      </c>
      <c r="S15" s="14">
        <v>0</v>
      </c>
      <c r="T15" s="16">
        <v>0</v>
      </c>
    </row>
    <row r="16" spans="1:20" x14ac:dyDescent="0.25">
      <c r="A16" s="11" t="s">
        <v>148</v>
      </c>
      <c r="B16" s="13">
        <v>3111</v>
      </c>
      <c r="C16" s="14">
        <f>(2593/B16*100)</f>
        <v>83.349405335904862</v>
      </c>
      <c r="D16" s="15">
        <v>518</v>
      </c>
      <c r="E16" s="14">
        <v>61.94919797</v>
      </c>
      <c r="F16" s="16">
        <v>2.2602046599999999</v>
      </c>
      <c r="G16" s="14">
        <v>13.66058308</v>
      </c>
      <c r="H16" s="16">
        <v>1.5538539200000001</v>
      </c>
      <c r="I16" s="14">
        <v>24.390218950000001</v>
      </c>
      <c r="J16" s="16">
        <v>2.08732155</v>
      </c>
      <c r="K16" s="14" t="s">
        <v>139</v>
      </c>
      <c r="L16" s="16" t="s">
        <v>139</v>
      </c>
      <c r="M16" s="14">
        <v>0</v>
      </c>
      <c r="N16" s="16">
        <v>0</v>
      </c>
      <c r="O16" s="14">
        <v>0</v>
      </c>
      <c r="P16" s="16">
        <v>0</v>
      </c>
      <c r="Q16" s="14">
        <v>0</v>
      </c>
      <c r="R16" s="16">
        <v>0</v>
      </c>
      <c r="S16" s="14">
        <v>0</v>
      </c>
      <c r="T16" s="16">
        <v>0</v>
      </c>
    </row>
    <row r="17" spans="1:20" x14ac:dyDescent="0.25">
      <c r="A17" s="11" t="s">
        <v>149</v>
      </c>
      <c r="B17" s="13">
        <v>3197</v>
      </c>
      <c r="C17" s="14">
        <f>(2645/B17*100)</f>
        <v>82.733812949640281</v>
      </c>
      <c r="D17" s="15">
        <v>552</v>
      </c>
      <c r="E17" s="14">
        <v>54.277348199999999</v>
      </c>
      <c r="F17" s="16">
        <v>1.9749222399999999</v>
      </c>
      <c r="G17" s="14">
        <v>12.113643010000001</v>
      </c>
      <c r="H17" s="16">
        <v>1.36521325</v>
      </c>
      <c r="I17" s="14">
        <v>33.609008789999997</v>
      </c>
      <c r="J17" s="16">
        <v>1.76868191</v>
      </c>
      <c r="K17" s="14" t="s">
        <v>139</v>
      </c>
      <c r="L17" s="16" t="s">
        <v>139</v>
      </c>
      <c r="M17" s="14">
        <v>0</v>
      </c>
      <c r="N17" s="16">
        <v>0</v>
      </c>
      <c r="O17" s="14">
        <v>0</v>
      </c>
      <c r="P17" s="16">
        <v>0</v>
      </c>
      <c r="Q17" s="14">
        <v>0</v>
      </c>
      <c r="R17" s="16">
        <v>0</v>
      </c>
      <c r="S17" s="14">
        <v>0</v>
      </c>
      <c r="T17" s="16">
        <v>0</v>
      </c>
    </row>
    <row r="18" spans="1:20" x14ac:dyDescent="0.25">
      <c r="A18" s="11" t="s">
        <v>150</v>
      </c>
      <c r="B18" s="13">
        <v>2706</v>
      </c>
      <c r="C18" s="14">
        <f>(2244/B18*100)</f>
        <v>82.926829268292678</v>
      </c>
      <c r="D18" s="15">
        <v>462</v>
      </c>
      <c r="E18" s="14">
        <v>59.557949120000004</v>
      </c>
      <c r="F18" s="16">
        <v>2.76370899</v>
      </c>
      <c r="G18" s="14">
        <v>17.283407180000001</v>
      </c>
      <c r="H18" s="16">
        <v>1.9869755899999999</v>
      </c>
      <c r="I18" s="14">
        <v>23.158643699999999</v>
      </c>
      <c r="J18" s="16">
        <v>2.2408419300000002</v>
      </c>
      <c r="K18" s="14" t="s">
        <v>139</v>
      </c>
      <c r="L18" s="16" t="s">
        <v>139</v>
      </c>
      <c r="M18" s="14">
        <v>0</v>
      </c>
      <c r="N18" s="16">
        <v>0</v>
      </c>
      <c r="O18" s="14">
        <v>0</v>
      </c>
      <c r="P18" s="16">
        <v>0</v>
      </c>
      <c r="Q18" s="14">
        <v>0</v>
      </c>
      <c r="R18" s="16">
        <v>0</v>
      </c>
      <c r="S18" s="14">
        <v>0</v>
      </c>
      <c r="T18" s="16">
        <v>0</v>
      </c>
    </row>
    <row r="19" spans="1:20" x14ac:dyDescent="0.25">
      <c r="A19" s="11" t="s">
        <v>151</v>
      </c>
      <c r="B19" s="13">
        <v>2850</v>
      </c>
      <c r="C19" s="14">
        <f>(2398/B19*100)</f>
        <v>84.140350877192986</v>
      </c>
      <c r="D19" s="15">
        <v>452</v>
      </c>
      <c r="E19" s="14">
        <v>63.478285530000001</v>
      </c>
      <c r="F19" s="16">
        <v>2.47779696</v>
      </c>
      <c r="G19" s="14">
        <v>15.335754700000001</v>
      </c>
      <c r="H19" s="16">
        <v>1.88278667</v>
      </c>
      <c r="I19" s="14">
        <v>21.18595977</v>
      </c>
      <c r="J19" s="16">
        <v>2.0059827800000001</v>
      </c>
      <c r="K19" s="14" t="s">
        <v>139</v>
      </c>
      <c r="L19" s="16" t="s">
        <v>139</v>
      </c>
      <c r="M19" s="14">
        <v>0</v>
      </c>
      <c r="N19" s="16">
        <v>0</v>
      </c>
      <c r="O19" s="14">
        <v>0</v>
      </c>
      <c r="P19" s="16">
        <v>0</v>
      </c>
      <c r="Q19" s="14">
        <v>0</v>
      </c>
      <c r="R19" s="16">
        <v>0</v>
      </c>
      <c r="S19" s="14">
        <v>0</v>
      </c>
      <c r="T19" s="16">
        <v>0</v>
      </c>
    </row>
    <row r="20" spans="1:20" x14ac:dyDescent="0.25">
      <c r="A20" s="11" t="s">
        <v>152</v>
      </c>
      <c r="B20" s="13">
        <v>1741</v>
      </c>
      <c r="C20" s="14">
        <f>(1456/B20*100)</f>
        <v>83.630097645031583</v>
      </c>
      <c r="D20" s="15">
        <v>285</v>
      </c>
      <c r="E20" s="14">
        <v>55.971455919999997</v>
      </c>
      <c r="F20" s="16">
        <v>2.8195204600000001</v>
      </c>
      <c r="G20" s="14">
        <v>14.20744277</v>
      </c>
      <c r="H20" s="16">
        <v>1.9323361299999999</v>
      </c>
      <c r="I20" s="14">
        <v>29.821101299999999</v>
      </c>
      <c r="J20" s="16">
        <v>2.6483254899999999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(3154/B22*100)</f>
        <v>86.010362694300511</v>
      </c>
      <c r="D22" s="15">
        <v>513</v>
      </c>
      <c r="E22" s="14">
        <v>57.193955750000001</v>
      </c>
      <c r="F22" s="16">
        <v>2.4027074000000002</v>
      </c>
      <c r="G22" s="14">
        <v>15.81641561</v>
      </c>
      <c r="H22" s="16">
        <v>1.79125808</v>
      </c>
      <c r="I22" s="14">
        <v>26.989628639999999</v>
      </c>
      <c r="J22" s="16">
        <v>2.0435292</v>
      </c>
      <c r="K22" s="14" t="s">
        <v>139</v>
      </c>
      <c r="L22" s="16" t="s">
        <v>139</v>
      </c>
      <c r="M22" s="14">
        <v>0</v>
      </c>
      <c r="N22" s="16">
        <v>0</v>
      </c>
      <c r="O22" s="14">
        <v>0</v>
      </c>
      <c r="P22" s="16">
        <v>0</v>
      </c>
      <c r="Q22" s="14">
        <v>0</v>
      </c>
      <c r="R22" s="16">
        <v>0</v>
      </c>
      <c r="S22" s="14">
        <v>0</v>
      </c>
      <c r="T22" s="16">
        <v>0</v>
      </c>
    </row>
    <row r="23" spans="1:20" x14ac:dyDescent="0.25">
      <c r="A23" s="11" t="s">
        <v>156</v>
      </c>
      <c r="B23" s="13">
        <v>5792</v>
      </c>
      <c r="C23" s="14">
        <f>(4822/B23*100)</f>
        <v>83.252762430939228</v>
      </c>
      <c r="D23" s="15">
        <v>970</v>
      </c>
      <c r="E23" s="14">
        <v>59.59612087</v>
      </c>
      <c r="F23" s="16">
        <v>2.1253412300000001</v>
      </c>
      <c r="G23" s="14">
        <v>15.39943847</v>
      </c>
      <c r="H23" s="16">
        <v>1.7512078</v>
      </c>
      <c r="I23" s="14">
        <v>25.00444066</v>
      </c>
      <c r="J23" s="16">
        <v>1.7838819299999999</v>
      </c>
      <c r="K23" s="14" t="s">
        <v>139</v>
      </c>
      <c r="L23" s="16" t="s">
        <v>139</v>
      </c>
      <c r="M23" s="14">
        <v>0</v>
      </c>
      <c r="N23" s="16">
        <v>0</v>
      </c>
      <c r="O23" s="14">
        <v>0</v>
      </c>
      <c r="P23" s="16">
        <v>0</v>
      </c>
      <c r="Q23" s="14">
        <v>0</v>
      </c>
      <c r="R23" s="16">
        <v>0</v>
      </c>
      <c r="S23" s="14">
        <v>0</v>
      </c>
      <c r="T23" s="16">
        <v>0</v>
      </c>
    </row>
    <row r="24" spans="1:20" x14ac:dyDescent="0.25">
      <c r="A24" s="11" t="s">
        <v>157</v>
      </c>
      <c r="B24" s="13">
        <v>3309</v>
      </c>
      <c r="C24" s="14">
        <f>(2733/B24*100)</f>
        <v>82.592928377153214</v>
      </c>
      <c r="D24" s="15">
        <v>576</v>
      </c>
      <c r="E24" s="14">
        <v>40.763266360000003</v>
      </c>
      <c r="F24" s="16">
        <v>2.3574966800000001</v>
      </c>
      <c r="G24" s="14">
        <v>6.7067319400000001</v>
      </c>
      <c r="H24" s="16">
        <v>1.1722530499999999</v>
      </c>
      <c r="I24" s="14">
        <v>52.5300017</v>
      </c>
      <c r="J24" s="16">
        <v>2.5530330800000001</v>
      </c>
      <c r="K24" s="14" t="s">
        <v>139</v>
      </c>
      <c r="L24" s="16" t="s">
        <v>139</v>
      </c>
      <c r="M24" s="14">
        <v>0</v>
      </c>
      <c r="N24" s="16">
        <v>0</v>
      </c>
      <c r="O24" s="14">
        <v>0</v>
      </c>
      <c r="P24" s="16">
        <v>0</v>
      </c>
      <c r="Q24" s="14">
        <v>0</v>
      </c>
      <c r="R24" s="16">
        <v>0</v>
      </c>
      <c r="S24" s="14">
        <v>0</v>
      </c>
      <c r="T24" s="16">
        <v>0</v>
      </c>
    </row>
    <row r="25" spans="1:20" x14ac:dyDescent="0.25">
      <c r="A25" s="11" t="s">
        <v>158</v>
      </c>
      <c r="B25" s="13">
        <v>2669</v>
      </c>
      <c r="C25" s="14">
        <f>(2206/B25*100)</f>
        <v>82.652678905957288</v>
      </c>
      <c r="D25" s="15">
        <v>463</v>
      </c>
      <c r="E25" s="14">
        <v>46.761272849999997</v>
      </c>
      <c r="F25" s="16">
        <v>2.1588328899999998</v>
      </c>
      <c r="G25" s="14">
        <v>13.02584081</v>
      </c>
      <c r="H25" s="16">
        <v>1.61177495</v>
      </c>
      <c r="I25" s="14">
        <v>40.212886339999997</v>
      </c>
      <c r="J25" s="16">
        <v>2.32281256</v>
      </c>
      <c r="K25" s="14" t="s">
        <v>139</v>
      </c>
      <c r="L25" s="16" t="s">
        <v>139</v>
      </c>
      <c r="M25" s="14">
        <v>0</v>
      </c>
      <c r="N25" s="16">
        <v>0</v>
      </c>
      <c r="O25" s="14">
        <v>0</v>
      </c>
      <c r="P25" s="16">
        <v>0</v>
      </c>
      <c r="Q25" s="14">
        <v>0</v>
      </c>
      <c r="R25" s="16">
        <v>0</v>
      </c>
      <c r="S25" s="14">
        <v>0</v>
      </c>
      <c r="T25" s="16">
        <v>0</v>
      </c>
    </row>
    <row r="26" spans="1:20" x14ac:dyDescent="0.25">
      <c r="A26" s="11" t="s">
        <v>159</v>
      </c>
      <c r="B26" s="13">
        <v>2419</v>
      </c>
      <c r="C26" s="14">
        <f>(1998/B26*100)</f>
        <v>82.596114096734183</v>
      </c>
      <c r="D26" s="15">
        <v>421</v>
      </c>
      <c r="E26" s="14">
        <v>59.275799810000002</v>
      </c>
      <c r="F26" s="16">
        <v>2.5923465700000001</v>
      </c>
      <c r="G26" s="14">
        <v>12.76054549</v>
      </c>
      <c r="H26" s="16">
        <v>1.5676300999999999</v>
      </c>
      <c r="I26" s="14">
        <v>27.963654689999998</v>
      </c>
      <c r="J26" s="16">
        <v>2.3016299</v>
      </c>
      <c r="K26" s="14" t="s">
        <v>139</v>
      </c>
      <c r="L26" s="16" t="s">
        <v>139</v>
      </c>
      <c r="M26" s="14">
        <v>0</v>
      </c>
      <c r="N26" s="16">
        <v>0</v>
      </c>
      <c r="O26" s="14">
        <v>0</v>
      </c>
      <c r="P26" s="16">
        <v>0</v>
      </c>
      <c r="Q26" s="14">
        <v>0</v>
      </c>
      <c r="R26" s="16">
        <v>0</v>
      </c>
      <c r="S26" s="14">
        <v>0</v>
      </c>
      <c r="T26" s="16">
        <v>0</v>
      </c>
    </row>
    <row r="27" spans="1:20" x14ac:dyDescent="0.25">
      <c r="A27" s="11" t="s">
        <v>160</v>
      </c>
      <c r="B27" s="13">
        <v>2683</v>
      </c>
      <c r="C27" s="14">
        <f>(2254/B27*100)</f>
        <v>84.010436079016031</v>
      </c>
      <c r="D27" s="15">
        <v>429</v>
      </c>
      <c r="E27" s="14">
        <v>63.248175140000001</v>
      </c>
      <c r="F27" s="16">
        <v>2.27118792</v>
      </c>
      <c r="G27" s="14">
        <v>14.3065926</v>
      </c>
      <c r="H27" s="16">
        <v>1.6228148200000001</v>
      </c>
      <c r="I27" s="14">
        <v>22.445232270000002</v>
      </c>
      <c r="J27" s="16">
        <v>2.0027628000000002</v>
      </c>
      <c r="K27" s="14" t="s">
        <v>139</v>
      </c>
      <c r="L27" s="16" t="s">
        <v>139</v>
      </c>
      <c r="M27" s="14">
        <v>0</v>
      </c>
      <c r="N27" s="16">
        <v>0</v>
      </c>
      <c r="O27" s="14">
        <v>0</v>
      </c>
      <c r="P27" s="16">
        <v>0</v>
      </c>
      <c r="Q27" s="14">
        <v>0</v>
      </c>
      <c r="R27" s="16">
        <v>0</v>
      </c>
      <c r="S27" s="14">
        <v>0</v>
      </c>
      <c r="T27" s="16">
        <v>0</v>
      </c>
    </row>
    <row r="28" spans="1:20" x14ac:dyDescent="0.25">
      <c r="A28" s="11" t="s">
        <v>161</v>
      </c>
      <c r="B28" s="13">
        <v>3803</v>
      </c>
      <c r="C28" s="14">
        <f>(3245/B28*100)</f>
        <v>85.327373126479102</v>
      </c>
      <c r="D28" s="15">
        <v>558</v>
      </c>
      <c r="E28" s="14">
        <v>75.248238220000005</v>
      </c>
      <c r="F28" s="16">
        <v>1.81232923</v>
      </c>
      <c r="G28" s="14">
        <v>18.484788229999999</v>
      </c>
      <c r="H28" s="16">
        <v>1.79248165</v>
      </c>
      <c r="I28" s="14">
        <v>6.2669735600000003</v>
      </c>
      <c r="J28" s="16">
        <v>1.0155325500000001</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(2266/B29*100)</f>
        <v>83.925925925925924</v>
      </c>
      <c r="D29" s="15">
        <v>434</v>
      </c>
      <c r="E29" s="14">
        <v>52.877061730000001</v>
      </c>
      <c r="F29" s="16">
        <v>2.6059743800000001</v>
      </c>
      <c r="G29" s="14">
        <v>13.83093916</v>
      </c>
      <c r="H29" s="16">
        <v>1.47212505</v>
      </c>
      <c r="I29" s="14">
        <v>33.291999109999999</v>
      </c>
      <c r="J29" s="16">
        <v>2.4153661</v>
      </c>
      <c r="K29" s="14" t="s">
        <v>139</v>
      </c>
      <c r="L29" s="16" t="s">
        <v>139</v>
      </c>
      <c r="M29" s="14">
        <v>0</v>
      </c>
      <c r="N29" s="16">
        <v>0</v>
      </c>
      <c r="O29" s="14">
        <v>0</v>
      </c>
      <c r="P29" s="16">
        <v>0</v>
      </c>
      <c r="Q29" s="14">
        <v>0</v>
      </c>
      <c r="R29" s="16">
        <v>0</v>
      </c>
      <c r="S29" s="14">
        <v>0</v>
      </c>
      <c r="T29" s="16">
        <v>0</v>
      </c>
    </row>
    <row r="30" spans="1:20" x14ac:dyDescent="0.25">
      <c r="A30" s="11" t="s">
        <v>163</v>
      </c>
      <c r="B30" s="13">
        <v>2257</v>
      </c>
      <c r="C30" s="14">
        <f>(1934/B30*100)</f>
        <v>85.688967656180765</v>
      </c>
      <c r="D30" s="15">
        <v>323</v>
      </c>
      <c r="E30" s="14">
        <v>48.170239240000001</v>
      </c>
      <c r="F30" s="16">
        <v>3.0522247899999999</v>
      </c>
      <c r="G30" s="14">
        <v>11.404290980000001</v>
      </c>
      <c r="H30" s="16">
        <v>2.1094906199999999</v>
      </c>
      <c r="I30" s="14">
        <v>40.42546978</v>
      </c>
      <c r="J30" s="16">
        <v>2.9027226100000001</v>
      </c>
      <c r="K30" s="14" t="s">
        <v>139</v>
      </c>
      <c r="L30" s="16" t="s">
        <v>139</v>
      </c>
      <c r="M30" s="14">
        <v>0</v>
      </c>
      <c r="N30" s="16">
        <v>0</v>
      </c>
      <c r="O30" s="14">
        <v>0</v>
      </c>
      <c r="P30" s="16">
        <v>0</v>
      </c>
      <c r="Q30" s="14">
        <v>0</v>
      </c>
      <c r="R30" s="16">
        <v>0</v>
      </c>
      <c r="S30" s="14">
        <v>0</v>
      </c>
      <c r="T30" s="16">
        <v>0</v>
      </c>
    </row>
    <row r="31" spans="1:20" x14ac:dyDescent="0.25">
      <c r="A31" s="11" t="s">
        <v>164</v>
      </c>
      <c r="B31" s="13">
        <v>2706</v>
      </c>
      <c r="C31" s="14">
        <f>(2260/B31*100)</f>
        <v>83.518107908351809</v>
      </c>
      <c r="D31" s="15">
        <v>446</v>
      </c>
      <c r="E31" s="14">
        <v>61.51815706</v>
      </c>
      <c r="F31" s="16">
        <v>2.2707597000000002</v>
      </c>
      <c r="G31" s="14">
        <v>10.51074762</v>
      </c>
      <c r="H31" s="16">
        <v>1.1778044999999999</v>
      </c>
      <c r="I31" s="14">
        <v>27.971095309999999</v>
      </c>
      <c r="J31" s="16">
        <v>1.99225691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(3081/B33*100)</f>
        <v>84.387838948233366</v>
      </c>
      <c r="D33" s="15">
        <v>570</v>
      </c>
      <c r="E33" s="14">
        <v>49.982028839999998</v>
      </c>
      <c r="F33" s="16">
        <v>2.4638337199999998</v>
      </c>
      <c r="G33" s="14">
        <v>16.034858230000001</v>
      </c>
      <c r="H33" s="16">
        <v>1.72440382</v>
      </c>
      <c r="I33" s="14">
        <v>33.983112939999998</v>
      </c>
      <c r="J33" s="16">
        <v>2.3987180800000001</v>
      </c>
      <c r="K33" s="14" t="s">
        <v>139</v>
      </c>
      <c r="L33" s="16" t="s">
        <v>139</v>
      </c>
      <c r="M33" s="14">
        <v>0</v>
      </c>
      <c r="N33" s="16">
        <v>0</v>
      </c>
      <c r="O33" s="14">
        <v>0</v>
      </c>
      <c r="P33" s="16">
        <v>0</v>
      </c>
      <c r="Q33" s="14">
        <v>0</v>
      </c>
      <c r="R33" s="16">
        <v>0</v>
      </c>
      <c r="S33" s="14">
        <v>0</v>
      </c>
      <c r="T33" s="16">
        <v>0</v>
      </c>
    </row>
    <row r="34" spans="1:20" x14ac:dyDescent="0.25">
      <c r="A34" s="11" t="s">
        <v>167</v>
      </c>
      <c r="B34" s="13">
        <v>3035</v>
      </c>
      <c r="C34" s="14">
        <f>(2566/B34*100)</f>
        <v>84.546952224052717</v>
      </c>
      <c r="D34" s="15">
        <v>469</v>
      </c>
      <c r="E34" s="14">
        <v>72.070813729999998</v>
      </c>
      <c r="F34" s="16">
        <v>2.2601267900000002</v>
      </c>
      <c r="G34" s="14">
        <v>10.379210629999999</v>
      </c>
      <c r="H34" s="16">
        <v>1.28848926</v>
      </c>
      <c r="I34" s="14">
        <v>17.54997564</v>
      </c>
      <c r="J34" s="16">
        <v>1.97982649</v>
      </c>
      <c r="K34" s="14" t="s">
        <v>139</v>
      </c>
      <c r="L34" s="16" t="s">
        <v>139</v>
      </c>
      <c r="M34" s="14">
        <v>0</v>
      </c>
      <c r="N34" s="16">
        <v>0</v>
      </c>
      <c r="O34" s="14">
        <v>0</v>
      </c>
      <c r="P34" s="16">
        <v>0</v>
      </c>
      <c r="Q34" s="14">
        <v>0</v>
      </c>
      <c r="R34" s="16">
        <v>0</v>
      </c>
      <c r="S34" s="14">
        <v>0</v>
      </c>
      <c r="T34" s="16">
        <v>0</v>
      </c>
    </row>
    <row r="35" spans="1:20" x14ac:dyDescent="0.25">
      <c r="A35" s="11" t="s">
        <v>168</v>
      </c>
      <c r="B35" s="13">
        <v>2901</v>
      </c>
      <c r="C35" s="14">
        <f>(2428/B35*100)</f>
        <v>83.69527749052051</v>
      </c>
      <c r="D35" s="15">
        <v>473</v>
      </c>
      <c r="E35" s="14">
        <v>53.601092520000002</v>
      </c>
      <c r="F35" s="16">
        <v>2.6436427999999998</v>
      </c>
      <c r="G35" s="14">
        <v>12.05151025</v>
      </c>
      <c r="H35" s="16">
        <v>2.2168410700000001</v>
      </c>
      <c r="I35" s="14">
        <v>34.347397229999999</v>
      </c>
      <c r="J35" s="16">
        <v>2.3298573199999999</v>
      </c>
      <c r="K35" s="14" t="s">
        <v>139</v>
      </c>
      <c r="L35" s="16" t="s">
        <v>139</v>
      </c>
      <c r="M35" s="14">
        <v>0</v>
      </c>
      <c r="N35" s="16">
        <v>0</v>
      </c>
      <c r="O35" s="14">
        <v>0</v>
      </c>
      <c r="P35" s="16">
        <v>0</v>
      </c>
      <c r="Q35" s="14">
        <v>0</v>
      </c>
      <c r="R35" s="16">
        <v>0</v>
      </c>
      <c r="S35" s="14">
        <v>0</v>
      </c>
      <c r="T35" s="16">
        <v>0</v>
      </c>
    </row>
    <row r="36" spans="1:20" x14ac:dyDescent="0.25">
      <c r="A36" s="11" t="s">
        <v>169</v>
      </c>
      <c r="B36" s="13">
        <v>3404</v>
      </c>
      <c r="C36" s="14">
        <f>(2876/B36*100)</f>
        <v>84.488836662749705</v>
      </c>
      <c r="D36" s="15">
        <v>528</v>
      </c>
      <c r="E36" s="14">
        <v>59.798133819999997</v>
      </c>
      <c r="F36" s="16">
        <v>2.09191701</v>
      </c>
      <c r="G36" s="14">
        <v>15.089159329999999</v>
      </c>
      <c r="H36" s="16">
        <v>1.4935042599999999</v>
      </c>
      <c r="I36" s="14">
        <v>25.112706849999999</v>
      </c>
      <c r="J36" s="16">
        <v>1.9736015899999999</v>
      </c>
      <c r="K36" s="14" t="s">
        <v>139</v>
      </c>
      <c r="L36" s="16" t="s">
        <v>139</v>
      </c>
      <c r="M36" s="14">
        <v>0</v>
      </c>
      <c r="N36" s="16">
        <v>0</v>
      </c>
      <c r="O36" s="14">
        <v>0</v>
      </c>
      <c r="P36" s="16">
        <v>0</v>
      </c>
      <c r="Q36" s="14">
        <v>0</v>
      </c>
      <c r="R36" s="16">
        <v>0</v>
      </c>
      <c r="S36" s="14">
        <v>0</v>
      </c>
      <c r="T36" s="16">
        <v>0</v>
      </c>
    </row>
    <row r="37" spans="1:20" x14ac:dyDescent="0.25">
      <c r="A37" s="11" t="s">
        <v>170</v>
      </c>
      <c r="B37" s="13">
        <v>2731</v>
      </c>
      <c r="C37" s="14">
        <f>(2304/B37*100)</f>
        <v>84.364701574514839</v>
      </c>
      <c r="D37" s="15">
        <v>427</v>
      </c>
      <c r="E37" s="14">
        <v>59.731760190000003</v>
      </c>
      <c r="F37" s="16">
        <v>2.4683212399999999</v>
      </c>
      <c r="G37" s="14">
        <v>13.70361758</v>
      </c>
      <c r="H37" s="16">
        <v>2.0072937300000002</v>
      </c>
      <c r="I37" s="14">
        <v>26.564622230000001</v>
      </c>
      <c r="J37" s="16">
        <v>1.9964193400000001</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(2419/B39*100)</f>
        <v>82.334921715452694</v>
      </c>
      <c r="D39" s="15">
        <v>519</v>
      </c>
      <c r="E39" s="14">
        <v>73.736458249999998</v>
      </c>
      <c r="F39" s="16">
        <v>2.2556367100000001</v>
      </c>
      <c r="G39" s="14">
        <v>14.978741769999999</v>
      </c>
      <c r="H39" s="16">
        <v>1.62144614</v>
      </c>
      <c r="I39" s="14">
        <v>11.284799980000001</v>
      </c>
      <c r="J39" s="16">
        <v>1.5721082900000001</v>
      </c>
      <c r="K39" s="14" t="s">
        <v>139</v>
      </c>
      <c r="L39" s="16" t="s">
        <v>139</v>
      </c>
      <c r="M39" s="14">
        <v>0</v>
      </c>
      <c r="N39" s="16">
        <v>0</v>
      </c>
      <c r="O39" s="14">
        <v>0</v>
      </c>
      <c r="P39" s="16">
        <v>0</v>
      </c>
      <c r="Q39" s="14">
        <v>0</v>
      </c>
      <c r="R39" s="16">
        <v>0</v>
      </c>
      <c r="S39" s="14">
        <v>0</v>
      </c>
      <c r="T39" s="16">
        <v>0</v>
      </c>
    </row>
    <row r="40" spans="1:20" x14ac:dyDescent="0.25">
      <c r="A40" s="11" t="s">
        <v>173</v>
      </c>
      <c r="B40" s="13">
        <v>6922</v>
      </c>
      <c r="C40" s="14">
        <f>(5755/B40*100)</f>
        <v>83.140710777232016</v>
      </c>
      <c r="D40" s="15">
        <v>1167</v>
      </c>
      <c r="E40" s="14">
        <v>46.103979950000003</v>
      </c>
      <c r="F40" s="16">
        <v>2.3775033699999999</v>
      </c>
      <c r="G40" s="14">
        <v>14.663194560000001</v>
      </c>
      <c r="H40" s="16">
        <v>1.64874221</v>
      </c>
      <c r="I40" s="14">
        <v>39.232825490000003</v>
      </c>
      <c r="J40" s="16">
        <v>2.3639680699999999</v>
      </c>
      <c r="K40" s="14" t="s">
        <v>139</v>
      </c>
      <c r="L40" s="16" t="s">
        <v>139</v>
      </c>
      <c r="M40" s="14">
        <v>0</v>
      </c>
      <c r="N40" s="16">
        <v>0</v>
      </c>
      <c r="O40" s="14">
        <v>0</v>
      </c>
      <c r="P40" s="16">
        <v>0</v>
      </c>
      <c r="Q40" s="14">
        <v>0</v>
      </c>
      <c r="R40" s="16">
        <v>0</v>
      </c>
      <c r="S40" s="14">
        <v>0</v>
      </c>
      <c r="T40" s="16">
        <v>0</v>
      </c>
    </row>
    <row r="41" spans="1:20" x14ac:dyDescent="0.25">
      <c r="A41" s="11" t="s">
        <v>174</v>
      </c>
      <c r="B41" s="13">
        <v>2854</v>
      </c>
      <c r="C41" s="14">
        <f>(2378/B41*100)</f>
        <v>83.321653819201131</v>
      </c>
      <c r="D41" s="15">
        <v>476</v>
      </c>
      <c r="E41" s="14">
        <v>55.642281680000004</v>
      </c>
      <c r="F41" s="16">
        <v>2.9110801199999998</v>
      </c>
      <c r="G41" s="14">
        <v>16.046637610000001</v>
      </c>
      <c r="H41" s="16">
        <v>1.8175813999999999</v>
      </c>
      <c r="I41" s="14">
        <v>28.311080709999999</v>
      </c>
      <c r="J41" s="16">
        <v>2.7272245399999999</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83.765661303866892</v>
      </c>
      <c r="D42" s="15">
        <f>IF(COUNT(D7:D41) &gt; 0, AVERAGE(D7:D41), "—")</f>
        <v>587.25</v>
      </c>
      <c r="E42" s="14">
        <f>IF(COUNT(E7:E41) &gt; 0, AVERAGE(E7:E41), "—")</f>
        <v>57.343478325937504</v>
      </c>
      <c r="F42" s="16">
        <f>IF(COUNT(F7:F41) &gt; 0, SQRT(SUMSQ(F7:F41)/(COUNT(F7:F41)*COUNT(F7:F41)) ), "—")</f>
        <v>0.41876509608661411</v>
      </c>
      <c r="G42" s="14">
        <f>IF(COUNT(G7:G41) &gt; 0, AVERAGE(G7:G41), "—")</f>
        <v>13.3813334303125</v>
      </c>
      <c r="H42" s="16">
        <f>IF(COUNT(H7:H41) &gt; 0, SQRT(SUMSQ(H7:H41)/(COUNT(H7:H41)*COUNT(H7:H41)) ), "—")</f>
        <v>0.29074494348380864</v>
      </c>
      <c r="I42" s="14">
        <f>IF(COUNT(I7:I41) &gt; 0, AVERAGE(I7:I41), "—")</f>
        <v>29.275188243124994</v>
      </c>
      <c r="J42" s="16">
        <f>IF(COUNT(J7:J41) &gt; 0, SQRT(SUMSQ(J7:J41)/(COUNT(J7:J41)*COUNT(J7:J41)) ), "—")</f>
        <v>0.38063007831474277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(10715/B46*100)</f>
        <v>88.751760125900773</v>
      </c>
      <c r="D46" s="15">
        <v>1358</v>
      </c>
      <c r="E46" s="14">
        <v>82.517599469999993</v>
      </c>
      <c r="F46" s="16">
        <v>1.5996299199999999</v>
      </c>
      <c r="G46" s="14">
        <v>10.91226166</v>
      </c>
      <c r="H46" s="16">
        <v>1.2988207599999999</v>
      </c>
      <c r="I46" s="14">
        <v>6.5701388700000001</v>
      </c>
      <c r="J46" s="16">
        <v>0.94616683000000001</v>
      </c>
      <c r="K46" s="14" t="s">
        <v>139</v>
      </c>
      <c r="L46" s="16" t="s">
        <v>139</v>
      </c>
      <c r="M46" s="14">
        <v>0</v>
      </c>
      <c r="N46" s="16">
        <v>0</v>
      </c>
      <c r="O46" s="14">
        <v>0</v>
      </c>
      <c r="P46" s="16">
        <v>0</v>
      </c>
      <c r="Q46" s="14">
        <v>0</v>
      </c>
      <c r="R46" s="16">
        <v>0</v>
      </c>
      <c r="S46" s="14">
        <v>0</v>
      </c>
      <c r="T46" s="16">
        <v>0</v>
      </c>
    </row>
    <row r="47" spans="1:20" x14ac:dyDescent="0.25">
      <c r="A47" s="11" t="s">
        <v>180</v>
      </c>
      <c r="B47" s="13">
        <v>2823</v>
      </c>
      <c r="C47" s="14">
        <f>(2372/B47*100)</f>
        <v>84.02408784980517</v>
      </c>
      <c r="D47" s="15">
        <v>451</v>
      </c>
      <c r="E47" s="14">
        <v>61.237499810000003</v>
      </c>
      <c r="F47" s="16">
        <v>2.7426012200000001</v>
      </c>
      <c r="G47" s="14">
        <v>17.853344570000001</v>
      </c>
      <c r="H47" s="16">
        <v>1.87344461</v>
      </c>
      <c r="I47" s="14">
        <v>20.90915562</v>
      </c>
      <c r="J47" s="16">
        <v>2.4952888899999999</v>
      </c>
      <c r="K47" s="14" t="s">
        <v>139</v>
      </c>
      <c r="L47" s="16" t="s">
        <v>139</v>
      </c>
      <c r="M47" s="14">
        <v>0</v>
      </c>
      <c r="N47" s="16">
        <v>0</v>
      </c>
      <c r="O47" s="14">
        <v>0</v>
      </c>
      <c r="P47" s="16">
        <v>0</v>
      </c>
      <c r="Q47" s="14">
        <v>0</v>
      </c>
      <c r="R47" s="16">
        <v>0</v>
      </c>
      <c r="S47" s="14">
        <v>0</v>
      </c>
      <c r="T47" s="16">
        <v>0</v>
      </c>
    </row>
    <row r="48" spans="1:20" x14ac:dyDescent="0.25">
      <c r="A48" s="11" t="s">
        <v>181</v>
      </c>
      <c r="B48" s="13">
        <v>4682</v>
      </c>
      <c r="C48" s="14">
        <f>(3905/B48*100)</f>
        <v>83.404527979495953</v>
      </c>
      <c r="D48" s="15">
        <v>777</v>
      </c>
      <c r="E48" s="14">
        <v>61.011281429999997</v>
      </c>
      <c r="F48" s="16">
        <v>2.4898069199999999</v>
      </c>
      <c r="G48" s="14">
        <v>9.5272554399999994</v>
      </c>
      <c r="H48" s="16">
        <v>1.33469667</v>
      </c>
      <c r="I48" s="14">
        <v>29.461463129999999</v>
      </c>
      <c r="J48" s="16">
        <v>2.2466601000000002</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(5217/B50*100)</f>
        <v>84.719064631373826</v>
      </c>
      <c r="D50" s="15">
        <v>941</v>
      </c>
      <c r="E50" s="14">
        <v>81.495291350000002</v>
      </c>
      <c r="F50" s="16">
        <v>1.62254868</v>
      </c>
      <c r="G50" s="14">
        <v>11.946559199999999</v>
      </c>
      <c r="H50" s="16">
        <v>1.1665267100000001</v>
      </c>
      <c r="I50" s="14">
        <v>6.5581494400000002</v>
      </c>
      <c r="J50" s="16">
        <v>1.04607878</v>
      </c>
      <c r="K50" s="14" t="s">
        <v>139</v>
      </c>
      <c r="L50" s="16" t="s">
        <v>139</v>
      </c>
      <c r="M50" s="14">
        <v>0</v>
      </c>
      <c r="N50" s="16">
        <v>0</v>
      </c>
      <c r="O50" s="14">
        <v>0</v>
      </c>
      <c r="P50" s="16">
        <v>0</v>
      </c>
      <c r="Q50" s="14">
        <v>0</v>
      </c>
      <c r="R50" s="16">
        <v>0</v>
      </c>
      <c r="S50" s="14">
        <v>0</v>
      </c>
      <c r="T50" s="16">
        <v>0</v>
      </c>
    </row>
    <row r="51" spans="1:20" x14ac:dyDescent="0.25">
      <c r="A51" s="11" t="s">
        <v>184</v>
      </c>
      <c r="B51" s="13">
        <v>3494</v>
      </c>
      <c r="C51" s="14">
        <f>(3036/B51*100)</f>
        <v>86.891814539210074</v>
      </c>
      <c r="D51" s="15">
        <v>458</v>
      </c>
      <c r="E51" s="14">
        <v>79.25870587</v>
      </c>
      <c r="F51" s="16">
        <v>1.8466304</v>
      </c>
      <c r="G51" s="14">
        <v>14.21371134</v>
      </c>
      <c r="H51" s="16">
        <v>1.67686687</v>
      </c>
      <c r="I51" s="14">
        <v>6.5275827800000004</v>
      </c>
      <c r="J51" s="16">
        <v>1.3113375</v>
      </c>
      <c r="K51" s="14" t="s">
        <v>139</v>
      </c>
      <c r="L51" s="16" t="s">
        <v>139</v>
      </c>
      <c r="M51" s="14">
        <v>0</v>
      </c>
      <c r="N51" s="16">
        <v>0</v>
      </c>
      <c r="O51" s="14">
        <v>0</v>
      </c>
      <c r="P51" s="16">
        <v>0</v>
      </c>
      <c r="Q51" s="14">
        <v>0</v>
      </c>
      <c r="R51" s="16">
        <v>0</v>
      </c>
      <c r="S51" s="14">
        <v>0</v>
      </c>
      <c r="T51" s="16">
        <v>0</v>
      </c>
    </row>
    <row r="52" spans="1:20" x14ac:dyDescent="0.25">
      <c r="A52" s="11" t="s">
        <v>185</v>
      </c>
      <c r="B52" s="13">
        <v>3013</v>
      </c>
      <c r="C52" s="14">
        <f>(2506/B52*100)</f>
        <v>83.172917358114844</v>
      </c>
      <c r="D52" s="15">
        <v>507</v>
      </c>
      <c r="E52" s="14">
        <v>68.460646510000004</v>
      </c>
      <c r="F52" s="16">
        <v>1.74942054</v>
      </c>
      <c r="G52" s="14">
        <v>16.249184750000001</v>
      </c>
      <c r="H52" s="16">
        <v>1.3803973199999999</v>
      </c>
      <c r="I52" s="14">
        <v>15.29016874</v>
      </c>
      <c r="J52" s="16">
        <v>1.52196369</v>
      </c>
      <c r="K52" s="14" t="s">
        <v>139</v>
      </c>
      <c r="L52" s="16" t="s">
        <v>139</v>
      </c>
      <c r="M52" s="14">
        <v>0</v>
      </c>
      <c r="N52" s="16">
        <v>0</v>
      </c>
      <c r="O52" s="14">
        <v>0</v>
      </c>
      <c r="P52" s="16">
        <v>0</v>
      </c>
      <c r="Q52" s="14">
        <v>0</v>
      </c>
      <c r="R52" s="16">
        <v>0</v>
      </c>
      <c r="S52" s="14">
        <v>0</v>
      </c>
      <c r="T52" s="16">
        <v>0</v>
      </c>
    </row>
    <row r="53" spans="1:20" x14ac:dyDescent="0.25">
      <c r="A53" s="11" t="s">
        <v>186</v>
      </c>
      <c r="B53" s="13">
        <v>2760</v>
      </c>
      <c r="C53" s="14">
        <f>(2338/B53*100)</f>
        <v>84.710144927536234</v>
      </c>
      <c r="D53" s="15">
        <v>422</v>
      </c>
      <c r="E53" s="14">
        <v>71.088742690000004</v>
      </c>
      <c r="F53" s="16">
        <v>2.30108508</v>
      </c>
      <c r="G53" s="14">
        <v>12.43733559</v>
      </c>
      <c r="H53" s="16">
        <v>1.7873832999999999</v>
      </c>
      <c r="I53" s="14">
        <v>16.47392172</v>
      </c>
      <c r="J53" s="16">
        <v>1.8813520500000001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(2210/B56*100)</f>
        <v>82.616822429906549</v>
      </c>
      <c r="D56" s="15">
        <v>465</v>
      </c>
      <c r="E56" s="14">
        <v>33.570937280000003</v>
      </c>
      <c r="F56" s="16">
        <v>2.2942602299999999</v>
      </c>
      <c r="G56" s="14">
        <v>6.8081246599999998</v>
      </c>
      <c r="H56" s="16">
        <v>1.1676471100000001</v>
      </c>
      <c r="I56" s="14">
        <v>59.62093806</v>
      </c>
      <c r="J56" s="16">
        <v>2.44742105</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(2666/B61*100)</f>
        <v>83.28647297719462</v>
      </c>
      <c r="D61" s="15">
        <v>535</v>
      </c>
      <c r="E61" s="14">
        <v>63.393378869999999</v>
      </c>
      <c r="F61" s="16">
        <v>2.4596760400000002</v>
      </c>
      <c r="G61" s="14">
        <v>14.907539740000001</v>
      </c>
      <c r="H61" s="16">
        <v>1.70251682</v>
      </c>
      <c r="I61" s="14">
        <v>21.69908139</v>
      </c>
      <c r="J61" s="16">
        <v>1.9856507299999999</v>
      </c>
      <c r="K61" s="14" t="s">
        <v>139</v>
      </c>
      <c r="L61" s="16" t="s">
        <v>139</v>
      </c>
      <c r="M61" s="14">
        <v>0</v>
      </c>
      <c r="N61" s="16">
        <v>0</v>
      </c>
      <c r="O61" s="14">
        <v>0</v>
      </c>
      <c r="P61" s="16">
        <v>0</v>
      </c>
      <c r="Q61" s="14">
        <v>0</v>
      </c>
      <c r="R61" s="16">
        <v>0</v>
      </c>
      <c r="S61" s="14">
        <v>0</v>
      </c>
      <c r="T61" s="16">
        <v>0</v>
      </c>
    </row>
    <row r="62" spans="1:20" x14ac:dyDescent="0.25">
      <c r="A62" s="11" t="s">
        <v>195</v>
      </c>
      <c r="B62" s="13">
        <v>2230</v>
      </c>
      <c r="C62" s="14">
        <f>(1871/B62*100)</f>
        <v>83.901345291479828</v>
      </c>
      <c r="D62" s="15">
        <v>359</v>
      </c>
      <c r="E62" s="14">
        <v>41.580846119999997</v>
      </c>
      <c r="F62" s="16">
        <v>2.5086992399999999</v>
      </c>
      <c r="G62" s="14">
        <v>7.2352953700000002</v>
      </c>
      <c r="H62" s="16">
        <v>1.2405624099999999</v>
      </c>
      <c r="I62" s="14">
        <v>51.18385851</v>
      </c>
      <c r="J62" s="16">
        <v>2.5832514400000002</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(2319/B66*100)</f>
        <v>83.688199206062791</v>
      </c>
      <c r="D66" s="15">
        <v>452</v>
      </c>
      <c r="E66" s="14">
        <v>79.983469970000002</v>
      </c>
      <c r="F66" s="16">
        <v>1.95124429</v>
      </c>
      <c r="G66" s="14">
        <v>9.3152545199999999</v>
      </c>
      <c r="H66" s="16">
        <v>1.46704988</v>
      </c>
      <c r="I66" s="14">
        <v>10.70127551</v>
      </c>
      <c r="J66" s="16">
        <v>1.4709802300000001</v>
      </c>
      <c r="K66" s="14" t="s">
        <v>139</v>
      </c>
      <c r="L66" s="16" t="s">
        <v>139</v>
      </c>
      <c r="M66" s="14">
        <v>0</v>
      </c>
      <c r="N66" s="16">
        <v>0</v>
      </c>
      <c r="O66" s="14">
        <v>0</v>
      </c>
      <c r="P66" s="16">
        <v>0</v>
      </c>
      <c r="Q66" s="14">
        <v>0</v>
      </c>
      <c r="R66" s="16">
        <v>0</v>
      </c>
      <c r="S66" s="14">
        <v>0</v>
      </c>
      <c r="T66" s="16">
        <v>0</v>
      </c>
    </row>
    <row r="67" spans="1:20" x14ac:dyDescent="0.25">
      <c r="A67" s="11" t="s">
        <v>200</v>
      </c>
      <c r="B67" s="13">
        <v>3460</v>
      </c>
      <c r="C67" s="14">
        <f>(3015/B67*100)</f>
        <v>87.138728323699425</v>
      </c>
      <c r="D67" s="15">
        <v>445</v>
      </c>
      <c r="E67" s="14">
        <v>82.911306440000004</v>
      </c>
      <c r="F67" s="16">
        <v>2.4540698600000002</v>
      </c>
      <c r="G67" s="14">
        <v>12.13300976</v>
      </c>
      <c r="H67" s="16">
        <v>1.7932623299999999</v>
      </c>
      <c r="I67" s="14">
        <v>4.9556838000000001</v>
      </c>
      <c r="J67" s="16">
        <v>1.4426189599999999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(2604/B70*100)</f>
        <v>83.810749919536534</v>
      </c>
      <c r="D70" s="15">
        <v>503</v>
      </c>
      <c r="E70" s="14">
        <v>64.149094840000004</v>
      </c>
      <c r="F70" s="16">
        <v>2.3423016900000002</v>
      </c>
      <c r="G70" s="14">
        <v>12.89633491</v>
      </c>
      <c r="H70" s="16">
        <v>1.5892009300000001</v>
      </c>
      <c r="I70" s="14">
        <v>22.95457025</v>
      </c>
      <c r="J70" s="16">
        <v>2.1891336899999998</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(3157/B72*100)</f>
        <v>82.665619272060752</v>
      </c>
      <c r="D72" s="15">
        <v>662</v>
      </c>
      <c r="E72" s="14">
        <v>47.439268419999998</v>
      </c>
      <c r="F72" s="16">
        <v>2.28800866</v>
      </c>
      <c r="G72" s="14">
        <v>7.2991202800000003</v>
      </c>
      <c r="H72" s="16">
        <v>0.99399079000000001</v>
      </c>
      <c r="I72" s="14">
        <v>45.261611299999998</v>
      </c>
      <c r="J72" s="16">
        <v>2.4416843099999999</v>
      </c>
      <c r="K72" s="14" t="s">
        <v>139</v>
      </c>
      <c r="L72" s="16" t="s">
        <v>139</v>
      </c>
      <c r="M72" s="14">
        <v>0</v>
      </c>
      <c r="N72" s="16">
        <v>0</v>
      </c>
      <c r="O72" s="14">
        <v>0</v>
      </c>
      <c r="P72" s="16">
        <v>0</v>
      </c>
      <c r="Q72" s="14">
        <v>0</v>
      </c>
      <c r="R72" s="16">
        <v>0</v>
      </c>
      <c r="S72" s="14">
        <v>0</v>
      </c>
      <c r="T72" s="16">
        <v>0</v>
      </c>
    </row>
    <row r="73" spans="1:20" x14ac:dyDescent="0.25">
      <c r="A73" s="11" t="s">
        <v>206</v>
      </c>
      <c r="B73" s="13">
        <v>4652</v>
      </c>
      <c r="C73" s="14">
        <f>(3969/B73*100)</f>
        <v>85.318142734307827</v>
      </c>
      <c r="D73" s="15">
        <v>683</v>
      </c>
      <c r="E73" s="14">
        <v>81.493813729999999</v>
      </c>
      <c r="F73" s="16">
        <v>2.0208952899999999</v>
      </c>
      <c r="G73" s="14">
        <v>9.5279728400000003</v>
      </c>
      <c r="H73" s="16">
        <v>1.3933111499999999</v>
      </c>
      <c r="I73" s="14">
        <v>8.9782134300000003</v>
      </c>
      <c r="J73" s="16">
        <v>1.5085640300000001</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(2543/B75*100)</f>
        <v>85.651734590771298</v>
      </c>
      <c r="D75" s="15">
        <v>426</v>
      </c>
      <c r="E75" s="14">
        <v>91.377968339999995</v>
      </c>
      <c r="F75" s="16">
        <v>1.26505384</v>
      </c>
      <c r="G75" s="14">
        <v>6.8954802700000002</v>
      </c>
      <c r="H75" s="16">
        <v>1.1913013699999999</v>
      </c>
      <c r="I75" s="14">
        <v>1.72655139</v>
      </c>
      <c r="J75" s="16">
        <v>0.63327661999999996</v>
      </c>
      <c r="K75" s="14" t="s">
        <v>139</v>
      </c>
      <c r="L75" s="16" t="s">
        <v>139</v>
      </c>
      <c r="M75" s="14">
        <v>0</v>
      </c>
      <c r="N75" s="16">
        <v>0</v>
      </c>
      <c r="O75" s="14">
        <v>0</v>
      </c>
      <c r="P75" s="16">
        <v>0</v>
      </c>
      <c r="Q75" s="14">
        <v>0</v>
      </c>
      <c r="R75" s="16">
        <v>0</v>
      </c>
      <c r="S75" s="14">
        <v>0</v>
      </c>
      <c r="T75" s="16">
        <v>0</v>
      </c>
    </row>
    <row r="76" spans="1:20" x14ac:dyDescent="0.25">
      <c r="A76" s="11" t="s">
        <v>209</v>
      </c>
      <c r="B76" s="13">
        <v>7115</v>
      </c>
      <c r="C76" s="14">
        <f>(5922/B76*100)</f>
        <v>83.232607167955024</v>
      </c>
      <c r="D76" s="15">
        <v>1193</v>
      </c>
      <c r="E76" s="14">
        <v>72.011298170000003</v>
      </c>
      <c r="F76" s="16">
        <v>1.56267004</v>
      </c>
      <c r="G76" s="14">
        <v>15.21293912</v>
      </c>
      <c r="H76" s="16">
        <v>1.1610868999999999</v>
      </c>
      <c r="I76" s="14">
        <v>12.77576271</v>
      </c>
      <c r="J76" s="16">
        <v>1.1251667299999999</v>
      </c>
      <c r="K76" s="14" t="s">
        <v>139</v>
      </c>
      <c r="L76" s="16" t="s">
        <v>139</v>
      </c>
      <c r="M76" s="14">
        <v>0</v>
      </c>
      <c r="N76" s="16">
        <v>0</v>
      </c>
      <c r="O76" s="14">
        <v>0</v>
      </c>
      <c r="P76" s="16">
        <v>0</v>
      </c>
      <c r="Q76" s="14">
        <v>0</v>
      </c>
      <c r="R76" s="16">
        <v>0</v>
      </c>
      <c r="S76" s="14">
        <v>0</v>
      </c>
      <c r="T76" s="16">
        <v>0</v>
      </c>
    </row>
    <row r="77" spans="1:20" x14ac:dyDescent="0.25">
      <c r="A77" s="11" t="s">
        <v>210</v>
      </c>
      <c r="B77" s="13">
        <v>3154</v>
      </c>
      <c r="C77" s="14">
        <f>(2678/B77*100)</f>
        <v>84.908053265694363</v>
      </c>
      <c r="D77" s="15">
        <v>476</v>
      </c>
      <c r="E77" s="14">
        <v>70.077938000000003</v>
      </c>
      <c r="F77" s="16">
        <v>2.35755034</v>
      </c>
      <c r="G77" s="14">
        <v>17.47484034</v>
      </c>
      <c r="H77" s="16">
        <v>2.0235860400000001</v>
      </c>
      <c r="I77" s="14">
        <v>12.44722166</v>
      </c>
      <c r="J77" s="16">
        <v>1.6034894399999999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(3914/B81*100)</f>
        <v>83.312047679863781</v>
      </c>
      <c r="D81" s="15">
        <v>784</v>
      </c>
      <c r="E81" s="14">
        <v>70.170429679999998</v>
      </c>
      <c r="F81" s="16">
        <v>2.1471182799999999</v>
      </c>
      <c r="G81" s="14">
        <v>13.804890690000001</v>
      </c>
      <c r="H81" s="16">
        <v>1.3665396700000001</v>
      </c>
      <c r="I81" s="14">
        <v>16.024679630000001</v>
      </c>
      <c r="J81" s="16">
        <v>1.6500879100000001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350</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7163</v>
      </c>
      <c r="C7" s="14">
        <f>(5995/B7*100)</f>
        <v>83.693982968030156</v>
      </c>
      <c r="D7" s="15">
        <v>1168</v>
      </c>
      <c r="E7" s="14">
        <v>39.634630399999999</v>
      </c>
      <c r="F7" s="16">
        <v>1.78677588</v>
      </c>
      <c r="G7" s="14">
        <v>1.6565451600000001</v>
      </c>
      <c r="H7" s="16">
        <v>0.41037191000000001</v>
      </c>
      <c r="I7" s="14">
        <v>29.889351120000001</v>
      </c>
      <c r="J7" s="16">
        <v>1.5339526400000001</v>
      </c>
      <c r="K7" s="14">
        <v>28.81947332</v>
      </c>
      <c r="L7" s="16">
        <v>1.76166698</v>
      </c>
      <c r="M7" s="14" t="s">
        <v>139</v>
      </c>
      <c r="N7" s="16" t="s">
        <v>139</v>
      </c>
      <c r="O7" s="14">
        <v>0</v>
      </c>
      <c r="P7" s="16">
        <v>0</v>
      </c>
      <c r="Q7" s="14">
        <v>0</v>
      </c>
      <c r="R7" s="16">
        <v>0</v>
      </c>
      <c r="S7" s="14">
        <v>0</v>
      </c>
      <c r="T7" s="16">
        <v>0</v>
      </c>
      <c r="U7" s="14">
        <v>0</v>
      </c>
      <c r="V7" s="16">
        <v>0</v>
      </c>
    </row>
    <row r="8" spans="1:22" x14ac:dyDescent="0.25">
      <c r="A8" s="11" t="s">
        <v>140</v>
      </c>
      <c r="B8" s="13">
        <v>3443</v>
      </c>
      <c r="C8" s="14">
        <f>(2856/B8*100)</f>
        <v>82.950914899796686</v>
      </c>
      <c r="D8" s="15">
        <v>587</v>
      </c>
      <c r="E8" s="14">
        <v>46.663285629999997</v>
      </c>
      <c r="F8" s="16">
        <v>2.94559302</v>
      </c>
      <c r="G8" s="14">
        <v>1.54933761</v>
      </c>
      <c r="H8" s="16">
        <v>0.42757045999999999</v>
      </c>
      <c r="I8" s="14">
        <v>33.9243849</v>
      </c>
      <c r="J8" s="16">
        <v>2.1717780599999998</v>
      </c>
      <c r="K8" s="14">
        <v>17.862991860000001</v>
      </c>
      <c r="L8" s="16">
        <v>1.73118087</v>
      </c>
      <c r="M8" s="14" t="s">
        <v>139</v>
      </c>
      <c r="N8" s="16" t="s">
        <v>139</v>
      </c>
      <c r="O8" s="14">
        <v>0</v>
      </c>
      <c r="P8" s="16">
        <v>0</v>
      </c>
      <c r="Q8" s="14">
        <v>0</v>
      </c>
      <c r="R8" s="16">
        <v>0</v>
      </c>
      <c r="S8" s="14">
        <v>0</v>
      </c>
      <c r="T8" s="16">
        <v>0</v>
      </c>
      <c r="U8" s="14">
        <v>0</v>
      </c>
      <c r="V8" s="16">
        <v>0</v>
      </c>
    </row>
    <row r="9" spans="1:22" x14ac:dyDescent="0.25">
      <c r="A9" s="11" t="s">
        <v>141</v>
      </c>
      <c r="B9" s="13">
        <v>4752</v>
      </c>
      <c r="C9" s="14">
        <f>(4015/B9*100)</f>
        <v>84.490740740740748</v>
      </c>
      <c r="D9" s="15">
        <v>737</v>
      </c>
      <c r="E9" s="14">
        <v>53.266102240000002</v>
      </c>
      <c r="F9" s="16">
        <v>1.7649232699999999</v>
      </c>
      <c r="G9" s="14">
        <v>3.1165778500000001</v>
      </c>
      <c r="H9" s="16">
        <v>0.62664945000000005</v>
      </c>
      <c r="I9" s="14">
        <v>27.695984060000001</v>
      </c>
      <c r="J9" s="16">
        <v>1.6977915100000001</v>
      </c>
      <c r="K9" s="14">
        <v>15.92133585</v>
      </c>
      <c r="L9" s="16">
        <v>1.33867677</v>
      </c>
      <c r="M9" s="14" t="s">
        <v>139</v>
      </c>
      <c r="N9" s="16" t="s">
        <v>139</v>
      </c>
      <c r="O9" s="14">
        <v>0</v>
      </c>
      <c r="P9" s="16">
        <v>0</v>
      </c>
      <c r="Q9" s="14">
        <v>0</v>
      </c>
      <c r="R9" s="16">
        <v>0</v>
      </c>
      <c r="S9" s="14">
        <v>0</v>
      </c>
      <c r="T9" s="16">
        <v>0</v>
      </c>
      <c r="U9" s="14">
        <v>0</v>
      </c>
      <c r="V9" s="16">
        <v>0</v>
      </c>
    </row>
    <row r="10" spans="1:22" x14ac:dyDescent="0.25">
      <c r="A10" s="11" t="s">
        <v>142</v>
      </c>
      <c r="B10" s="13">
        <v>10022</v>
      </c>
      <c r="C10" s="14">
        <f>(8350/B10*100)</f>
        <v>83.316703252843752</v>
      </c>
      <c r="D10" s="15">
        <v>1672</v>
      </c>
      <c r="E10" s="14">
        <v>36.795061740000001</v>
      </c>
      <c r="F10" s="16">
        <v>1.6933323600000001</v>
      </c>
      <c r="G10" s="14">
        <v>1.6003702399999999</v>
      </c>
      <c r="H10" s="16">
        <v>0.38216894000000001</v>
      </c>
      <c r="I10" s="14">
        <v>30.814850830000001</v>
      </c>
      <c r="J10" s="16">
        <v>1.79414283</v>
      </c>
      <c r="K10" s="14">
        <v>30.789717190000001</v>
      </c>
      <c r="L10" s="16">
        <v>1.6230350600000001</v>
      </c>
      <c r="M10" s="14" t="s">
        <v>139</v>
      </c>
      <c r="N10" s="16" t="s">
        <v>139</v>
      </c>
      <c r="O10" s="14">
        <v>0</v>
      </c>
      <c r="P10" s="16">
        <v>0</v>
      </c>
      <c r="Q10" s="14">
        <v>0</v>
      </c>
      <c r="R10" s="16">
        <v>0</v>
      </c>
      <c r="S10" s="14">
        <v>0</v>
      </c>
      <c r="T10" s="16">
        <v>0</v>
      </c>
      <c r="U10" s="14">
        <v>0</v>
      </c>
      <c r="V10" s="16">
        <v>0</v>
      </c>
    </row>
    <row r="11" spans="1:22" x14ac:dyDescent="0.25">
      <c r="A11" s="11" t="s">
        <v>143</v>
      </c>
      <c r="B11" s="13">
        <v>3500</v>
      </c>
      <c r="C11" s="14">
        <f>(2951/B11*100)</f>
        <v>84.314285714285717</v>
      </c>
      <c r="D11" s="15">
        <v>549</v>
      </c>
      <c r="E11" s="14">
        <v>59.411171799999998</v>
      </c>
      <c r="F11" s="16">
        <v>2.6927434200000002</v>
      </c>
      <c r="G11" s="14">
        <v>2.4379786499999998</v>
      </c>
      <c r="H11" s="16">
        <v>0.82089098999999999</v>
      </c>
      <c r="I11" s="14">
        <v>22.856480309999998</v>
      </c>
      <c r="J11" s="16">
        <v>2.3581754699999999</v>
      </c>
      <c r="K11" s="14">
        <v>15.29436924</v>
      </c>
      <c r="L11" s="16">
        <v>1.6929936299999999</v>
      </c>
      <c r="M11" s="14" t="s">
        <v>139</v>
      </c>
      <c r="N11" s="16" t="s">
        <v>139</v>
      </c>
      <c r="O11" s="14">
        <v>0</v>
      </c>
      <c r="P11" s="16">
        <v>0</v>
      </c>
      <c r="Q11" s="14">
        <v>0</v>
      </c>
      <c r="R11" s="16">
        <v>0</v>
      </c>
      <c r="S11" s="14">
        <v>0</v>
      </c>
      <c r="T11" s="16">
        <v>0</v>
      </c>
      <c r="U11" s="14">
        <v>0</v>
      </c>
      <c r="V11" s="16">
        <v>0</v>
      </c>
    </row>
    <row r="12" spans="1:22" x14ac:dyDescent="0.25">
      <c r="A12" s="11" t="s">
        <v>144</v>
      </c>
      <c r="B12" s="13">
        <v>3422</v>
      </c>
      <c r="C12" s="14">
        <f>(2896/B12*100)</f>
        <v>84.628872004675628</v>
      </c>
      <c r="D12" s="15">
        <v>526</v>
      </c>
      <c r="E12" s="14">
        <v>59.589657469999999</v>
      </c>
      <c r="F12" s="16">
        <v>2.5146501300000001</v>
      </c>
      <c r="G12" s="14">
        <v>1.9764376699999999</v>
      </c>
      <c r="H12" s="16">
        <v>0.58207299000000001</v>
      </c>
      <c r="I12" s="14">
        <v>23.243483250000001</v>
      </c>
      <c r="J12" s="16">
        <v>2.08027556</v>
      </c>
      <c r="K12" s="14">
        <v>15.19042161</v>
      </c>
      <c r="L12" s="16">
        <v>1.6172241199999999</v>
      </c>
      <c r="M12" s="14" t="s">
        <v>139</v>
      </c>
      <c r="N12" s="16" t="s">
        <v>139</v>
      </c>
      <c r="O12" s="14">
        <v>0</v>
      </c>
      <c r="P12" s="16">
        <v>0</v>
      </c>
      <c r="Q12" s="14">
        <v>0</v>
      </c>
      <c r="R12" s="16">
        <v>0</v>
      </c>
      <c r="S12" s="14">
        <v>0</v>
      </c>
      <c r="T12" s="16">
        <v>0</v>
      </c>
      <c r="U12" s="14">
        <v>0</v>
      </c>
      <c r="V12" s="16">
        <v>0</v>
      </c>
    </row>
    <row r="13" spans="1:22" x14ac:dyDescent="0.25">
      <c r="A13" s="11" t="s">
        <v>145</v>
      </c>
      <c r="B13" s="13">
        <v>3602</v>
      </c>
      <c r="C13" s="14">
        <f>(3034/B13*100)</f>
        <v>84.230982787340366</v>
      </c>
      <c r="D13" s="15">
        <v>568</v>
      </c>
      <c r="E13" s="14">
        <v>49.865042119999998</v>
      </c>
      <c r="F13" s="16">
        <v>2.5512389799999999</v>
      </c>
      <c r="G13" s="14">
        <v>1.43678902</v>
      </c>
      <c r="H13" s="16">
        <v>0.51695029000000003</v>
      </c>
      <c r="I13" s="14">
        <v>25.568600329999999</v>
      </c>
      <c r="J13" s="16">
        <v>2.3418898700000002</v>
      </c>
      <c r="K13" s="14">
        <v>23.12956853</v>
      </c>
      <c r="L13" s="16">
        <v>2.08480899</v>
      </c>
      <c r="M13" s="14" t="s">
        <v>139</v>
      </c>
      <c r="N13" s="16" t="s">
        <v>139</v>
      </c>
      <c r="O13" s="14">
        <v>0</v>
      </c>
      <c r="P13" s="16">
        <v>0</v>
      </c>
      <c r="Q13" s="14">
        <v>0</v>
      </c>
      <c r="R13" s="16">
        <v>0</v>
      </c>
      <c r="S13" s="14">
        <v>0</v>
      </c>
      <c r="T13" s="16">
        <v>0</v>
      </c>
      <c r="U13" s="14">
        <v>0</v>
      </c>
      <c r="V13" s="16">
        <v>0</v>
      </c>
    </row>
    <row r="14" spans="1:22" x14ac:dyDescent="0.25">
      <c r="A14" s="11" t="s">
        <v>146</v>
      </c>
      <c r="B14" s="13">
        <v>2788</v>
      </c>
      <c r="C14" s="14">
        <f>(2319/B14*100)</f>
        <v>83.177905308464844</v>
      </c>
      <c r="D14" s="15">
        <v>469</v>
      </c>
      <c r="E14" s="14">
        <v>41.41137646</v>
      </c>
      <c r="F14" s="16">
        <v>2.1969149300000002</v>
      </c>
      <c r="G14" s="14">
        <v>0.68547398999999998</v>
      </c>
      <c r="H14" s="16">
        <v>0.43395221</v>
      </c>
      <c r="I14" s="14">
        <v>29.549727109999999</v>
      </c>
      <c r="J14" s="16">
        <v>2.0403240399999998</v>
      </c>
      <c r="K14" s="14">
        <v>28.35342245</v>
      </c>
      <c r="L14" s="16">
        <v>2.3272113800000001</v>
      </c>
      <c r="M14" s="14" t="s">
        <v>139</v>
      </c>
      <c r="N14" s="16" t="s">
        <v>139</v>
      </c>
      <c r="O14" s="14">
        <v>0</v>
      </c>
      <c r="P14" s="16">
        <v>0</v>
      </c>
      <c r="Q14" s="14">
        <v>0</v>
      </c>
      <c r="R14" s="16">
        <v>0</v>
      </c>
      <c r="S14" s="14">
        <v>0</v>
      </c>
      <c r="T14" s="16">
        <v>0</v>
      </c>
      <c r="U14" s="14">
        <v>0</v>
      </c>
      <c r="V14" s="16">
        <v>0</v>
      </c>
    </row>
    <row r="15" spans="1:22" x14ac:dyDescent="0.25">
      <c r="A15" s="11" t="s">
        <v>147</v>
      </c>
      <c r="B15" s="13">
        <v>2863</v>
      </c>
      <c r="C15" s="14">
        <f>(2378/B15*100)</f>
        <v>83.059727558505074</v>
      </c>
      <c r="D15" s="15">
        <v>485</v>
      </c>
      <c r="E15" s="14">
        <v>37.17736661</v>
      </c>
      <c r="F15" s="16">
        <v>2.3576089699999998</v>
      </c>
      <c r="G15" s="14">
        <v>1.1464055799999999</v>
      </c>
      <c r="H15" s="16">
        <v>0.46903555000000002</v>
      </c>
      <c r="I15" s="14">
        <v>26.740109929999999</v>
      </c>
      <c r="J15" s="16">
        <v>2.0674274700000002</v>
      </c>
      <c r="K15" s="14">
        <v>34.936117879999998</v>
      </c>
      <c r="L15" s="16">
        <v>2.2116907800000001</v>
      </c>
      <c r="M15" s="14" t="s">
        <v>139</v>
      </c>
      <c r="N15" s="16" t="s">
        <v>139</v>
      </c>
      <c r="O15" s="14">
        <v>0</v>
      </c>
      <c r="P15" s="16">
        <v>0</v>
      </c>
      <c r="Q15" s="14">
        <v>0</v>
      </c>
      <c r="R15" s="16">
        <v>0</v>
      </c>
      <c r="S15" s="14">
        <v>0</v>
      </c>
      <c r="T15" s="16">
        <v>0</v>
      </c>
      <c r="U15" s="14">
        <v>0</v>
      </c>
      <c r="V15" s="16">
        <v>0</v>
      </c>
    </row>
    <row r="16" spans="1:22" x14ac:dyDescent="0.25">
      <c r="A16" s="11" t="s">
        <v>148</v>
      </c>
      <c r="B16" s="13">
        <v>3111</v>
      </c>
      <c r="C16" s="14">
        <f>(2593/B16*100)</f>
        <v>83.349405335904862</v>
      </c>
      <c r="D16" s="15">
        <v>518</v>
      </c>
      <c r="E16" s="14">
        <v>62.08709193</v>
      </c>
      <c r="F16" s="16">
        <v>2.0516541099999999</v>
      </c>
      <c r="G16" s="14">
        <v>1.6853961</v>
      </c>
      <c r="H16" s="16">
        <v>0.61127301999999994</v>
      </c>
      <c r="I16" s="14">
        <v>24.704704029999998</v>
      </c>
      <c r="J16" s="16">
        <v>1.9627627400000001</v>
      </c>
      <c r="K16" s="14">
        <v>11.52280794</v>
      </c>
      <c r="L16" s="16">
        <v>1.49381166</v>
      </c>
      <c r="M16" s="14" t="s">
        <v>139</v>
      </c>
      <c r="N16" s="16" t="s">
        <v>139</v>
      </c>
      <c r="O16" s="14">
        <v>0</v>
      </c>
      <c r="P16" s="16">
        <v>0</v>
      </c>
      <c r="Q16" s="14">
        <v>0</v>
      </c>
      <c r="R16" s="16">
        <v>0</v>
      </c>
      <c r="S16" s="14">
        <v>0</v>
      </c>
      <c r="T16" s="16">
        <v>0</v>
      </c>
      <c r="U16" s="14">
        <v>0</v>
      </c>
      <c r="V16" s="16">
        <v>0</v>
      </c>
    </row>
    <row r="17" spans="1:22" x14ac:dyDescent="0.25">
      <c r="A17" s="11" t="s">
        <v>149</v>
      </c>
      <c r="B17" s="13">
        <v>3197</v>
      </c>
      <c r="C17" s="14">
        <f>(2645/B17*100)</f>
        <v>82.733812949640281</v>
      </c>
      <c r="D17" s="15">
        <v>552</v>
      </c>
      <c r="E17" s="14">
        <v>48.583857559999998</v>
      </c>
      <c r="F17" s="16">
        <v>2.2438366300000001</v>
      </c>
      <c r="G17" s="14">
        <v>1.3840468800000001</v>
      </c>
      <c r="H17" s="16">
        <v>0.43828724000000002</v>
      </c>
      <c r="I17" s="14">
        <v>29.774712260000001</v>
      </c>
      <c r="J17" s="16">
        <v>1.9587402700000001</v>
      </c>
      <c r="K17" s="14">
        <v>20.25738329</v>
      </c>
      <c r="L17" s="16">
        <v>1.7415641100000001</v>
      </c>
      <c r="M17" s="14" t="s">
        <v>139</v>
      </c>
      <c r="N17" s="16" t="s">
        <v>139</v>
      </c>
      <c r="O17" s="14">
        <v>0</v>
      </c>
      <c r="P17" s="16">
        <v>0</v>
      </c>
      <c r="Q17" s="14">
        <v>0</v>
      </c>
      <c r="R17" s="16">
        <v>0</v>
      </c>
      <c r="S17" s="14">
        <v>0</v>
      </c>
      <c r="T17" s="16">
        <v>0</v>
      </c>
      <c r="U17" s="14">
        <v>0</v>
      </c>
      <c r="V17" s="16">
        <v>0</v>
      </c>
    </row>
    <row r="18" spans="1:22" x14ac:dyDescent="0.25">
      <c r="A18" s="11" t="s">
        <v>150</v>
      </c>
      <c r="B18" s="13">
        <v>2706</v>
      </c>
      <c r="C18" s="14">
        <f>(2244/B18*100)</f>
        <v>82.926829268292678</v>
      </c>
      <c r="D18" s="15">
        <v>462</v>
      </c>
      <c r="E18" s="14">
        <v>59.799446969999998</v>
      </c>
      <c r="F18" s="16">
        <v>2.4033317300000001</v>
      </c>
      <c r="G18" s="14">
        <v>1.84129353</v>
      </c>
      <c r="H18" s="16">
        <v>0.55266473000000005</v>
      </c>
      <c r="I18" s="14">
        <v>22.521133639999999</v>
      </c>
      <c r="J18" s="16">
        <v>2.3115182600000002</v>
      </c>
      <c r="K18" s="14">
        <v>15.83812586</v>
      </c>
      <c r="L18" s="16">
        <v>1.6599920100000001</v>
      </c>
      <c r="M18" s="14" t="s">
        <v>139</v>
      </c>
      <c r="N18" s="16" t="s">
        <v>139</v>
      </c>
      <c r="O18" s="14">
        <v>0</v>
      </c>
      <c r="P18" s="16">
        <v>0</v>
      </c>
      <c r="Q18" s="14">
        <v>0</v>
      </c>
      <c r="R18" s="16">
        <v>0</v>
      </c>
      <c r="S18" s="14">
        <v>0</v>
      </c>
      <c r="T18" s="16">
        <v>0</v>
      </c>
      <c r="U18" s="14">
        <v>0</v>
      </c>
      <c r="V18" s="16">
        <v>0</v>
      </c>
    </row>
    <row r="19" spans="1:22" x14ac:dyDescent="0.25">
      <c r="A19" s="11" t="s">
        <v>151</v>
      </c>
      <c r="B19" s="13">
        <v>2850</v>
      </c>
      <c r="C19" s="14">
        <f>(2398/B19*100)</f>
        <v>84.140350877192986</v>
      </c>
      <c r="D19" s="15">
        <v>452</v>
      </c>
      <c r="E19" s="14">
        <v>62.528763290000001</v>
      </c>
      <c r="F19" s="16">
        <v>2.2927644900000002</v>
      </c>
      <c r="G19" s="14">
        <v>3.2031369199999999</v>
      </c>
      <c r="H19" s="16">
        <v>0.93967882000000003</v>
      </c>
      <c r="I19" s="14">
        <v>14.34745319</v>
      </c>
      <c r="J19" s="16">
        <v>1.6948773500000001</v>
      </c>
      <c r="K19" s="14">
        <v>19.920646600000001</v>
      </c>
      <c r="L19" s="16">
        <v>1.9896786200000001</v>
      </c>
      <c r="M19" s="14" t="s">
        <v>139</v>
      </c>
      <c r="N19" s="16" t="s">
        <v>139</v>
      </c>
      <c r="O19" s="14">
        <v>0</v>
      </c>
      <c r="P19" s="16">
        <v>0</v>
      </c>
      <c r="Q19" s="14">
        <v>0</v>
      </c>
      <c r="R19" s="16">
        <v>0</v>
      </c>
      <c r="S19" s="14">
        <v>0</v>
      </c>
      <c r="T19" s="16">
        <v>0</v>
      </c>
      <c r="U19" s="14">
        <v>0</v>
      </c>
      <c r="V19" s="16">
        <v>0</v>
      </c>
    </row>
    <row r="20" spans="1:22" x14ac:dyDescent="0.25">
      <c r="A20" s="11" t="s">
        <v>152</v>
      </c>
      <c r="B20" s="13">
        <v>1741</v>
      </c>
      <c r="C20" s="14">
        <f>(1456/B20*100)</f>
        <v>83.630097645031583</v>
      </c>
      <c r="D20" s="15">
        <v>285</v>
      </c>
      <c r="E20" s="14">
        <v>46.810971500000001</v>
      </c>
      <c r="F20" s="16">
        <v>2.92760899</v>
      </c>
      <c r="G20" s="14">
        <v>2.1914458099999998</v>
      </c>
      <c r="H20" s="16">
        <v>0.88508997</v>
      </c>
      <c r="I20" s="14">
        <v>29.479830700000001</v>
      </c>
      <c r="J20" s="16">
        <v>2.3111319899999998</v>
      </c>
      <c r="K20" s="14">
        <v>21.517752000000002</v>
      </c>
      <c r="L20" s="16">
        <v>2.38190086</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3667</v>
      </c>
      <c r="C22" s="14">
        <f>(3154/B22*100)</f>
        <v>86.010362694300511</v>
      </c>
      <c r="D22" s="15">
        <v>513</v>
      </c>
      <c r="E22" s="14">
        <v>54.306509179999999</v>
      </c>
      <c r="F22" s="16">
        <v>2.2459752499999999</v>
      </c>
      <c r="G22" s="14">
        <v>4.3699594800000003</v>
      </c>
      <c r="H22" s="16">
        <v>1.04546709</v>
      </c>
      <c r="I22" s="14">
        <v>24.056248759999999</v>
      </c>
      <c r="J22" s="16">
        <v>1.7041687000000001</v>
      </c>
      <c r="K22" s="14">
        <v>17.267282590000001</v>
      </c>
      <c r="L22" s="16">
        <v>1.6743173499999999</v>
      </c>
      <c r="M22" s="14" t="s">
        <v>139</v>
      </c>
      <c r="N22" s="16" t="s">
        <v>139</v>
      </c>
      <c r="O22" s="14">
        <v>0</v>
      </c>
      <c r="P22" s="16">
        <v>0</v>
      </c>
      <c r="Q22" s="14">
        <v>0</v>
      </c>
      <c r="R22" s="16">
        <v>0</v>
      </c>
      <c r="S22" s="14">
        <v>0</v>
      </c>
      <c r="T22" s="16">
        <v>0</v>
      </c>
      <c r="U22" s="14">
        <v>0</v>
      </c>
      <c r="V22" s="16">
        <v>0</v>
      </c>
    </row>
    <row r="23" spans="1:22" x14ac:dyDescent="0.25">
      <c r="A23" s="11" t="s">
        <v>156</v>
      </c>
      <c r="B23" s="13">
        <v>5792</v>
      </c>
      <c r="C23" s="14">
        <f>(4822/B23*100)</f>
        <v>83.252762430939228</v>
      </c>
      <c r="D23" s="15">
        <v>970</v>
      </c>
      <c r="E23" s="14">
        <v>58.110379049999999</v>
      </c>
      <c r="F23" s="16">
        <v>2.5360007900000001</v>
      </c>
      <c r="G23" s="14">
        <v>1.83511987</v>
      </c>
      <c r="H23" s="16">
        <v>0.52390386</v>
      </c>
      <c r="I23" s="14">
        <v>23.720429880000001</v>
      </c>
      <c r="J23" s="16">
        <v>1.6044548000000001</v>
      </c>
      <c r="K23" s="14">
        <v>16.3340712</v>
      </c>
      <c r="L23" s="16">
        <v>2.40897395</v>
      </c>
      <c r="M23" s="14" t="s">
        <v>139</v>
      </c>
      <c r="N23" s="16" t="s">
        <v>139</v>
      </c>
      <c r="O23" s="14">
        <v>0</v>
      </c>
      <c r="P23" s="16">
        <v>0</v>
      </c>
      <c r="Q23" s="14">
        <v>0</v>
      </c>
      <c r="R23" s="16">
        <v>0</v>
      </c>
      <c r="S23" s="14">
        <v>0</v>
      </c>
      <c r="T23" s="16">
        <v>0</v>
      </c>
      <c r="U23" s="14">
        <v>0</v>
      </c>
      <c r="V23" s="16">
        <v>0</v>
      </c>
    </row>
    <row r="24" spans="1:22" x14ac:dyDescent="0.25">
      <c r="A24" s="11" t="s">
        <v>157</v>
      </c>
      <c r="B24" s="13">
        <v>3309</v>
      </c>
      <c r="C24" s="14">
        <f>(2733/B24*100)</f>
        <v>82.592928377153214</v>
      </c>
      <c r="D24" s="15">
        <v>576</v>
      </c>
      <c r="E24" s="14">
        <v>28.71996957</v>
      </c>
      <c r="F24" s="16">
        <v>1.8151791900000001</v>
      </c>
      <c r="G24" s="14">
        <v>10.700169450000001</v>
      </c>
      <c r="H24" s="16">
        <v>1.1728170899999999</v>
      </c>
      <c r="I24" s="14">
        <v>12.922475540000001</v>
      </c>
      <c r="J24" s="16">
        <v>1.30293646</v>
      </c>
      <c r="K24" s="14">
        <v>47.657385439999999</v>
      </c>
      <c r="L24" s="16">
        <v>2.0064046900000001</v>
      </c>
      <c r="M24" s="14" t="s">
        <v>139</v>
      </c>
      <c r="N24" s="16" t="s">
        <v>139</v>
      </c>
      <c r="O24" s="14">
        <v>0</v>
      </c>
      <c r="P24" s="16">
        <v>0</v>
      </c>
      <c r="Q24" s="14">
        <v>0</v>
      </c>
      <c r="R24" s="16">
        <v>0</v>
      </c>
      <c r="S24" s="14">
        <v>0</v>
      </c>
      <c r="T24" s="16">
        <v>0</v>
      </c>
      <c r="U24" s="14">
        <v>0</v>
      </c>
      <c r="V24" s="16">
        <v>0</v>
      </c>
    </row>
    <row r="25" spans="1:22" x14ac:dyDescent="0.25">
      <c r="A25" s="11" t="s">
        <v>158</v>
      </c>
      <c r="B25" s="13">
        <v>2669</v>
      </c>
      <c r="C25" s="14">
        <f>(2206/B25*100)</f>
        <v>82.652678905957288</v>
      </c>
      <c r="D25" s="15">
        <v>463</v>
      </c>
      <c r="E25" s="14">
        <v>33.786366000000001</v>
      </c>
      <c r="F25" s="16">
        <v>2.1435079300000002</v>
      </c>
      <c r="G25" s="14">
        <v>1.3366935</v>
      </c>
      <c r="H25" s="16">
        <v>0.50023262999999996</v>
      </c>
      <c r="I25" s="14">
        <v>29.805932859999999</v>
      </c>
      <c r="J25" s="16">
        <v>2.0135825399999998</v>
      </c>
      <c r="K25" s="14">
        <v>35.071007639999998</v>
      </c>
      <c r="L25" s="16">
        <v>2.2369789899999999</v>
      </c>
      <c r="M25" s="14" t="s">
        <v>139</v>
      </c>
      <c r="N25" s="16" t="s">
        <v>139</v>
      </c>
      <c r="O25" s="14">
        <v>0</v>
      </c>
      <c r="P25" s="16">
        <v>0</v>
      </c>
      <c r="Q25" s="14">
        <v>0</v>
      </c>
      <c r="R25" s="16">
        <v>0</v>
      </c>
      <c r="S25" s="14">
        <v>0</v>
      </c>
      <c r="T25" s="16">
        <v>0</v>
      </c>
      <c r="U25" s="14">
        <v>0</v>
      </c>
      <c r="V25" s="16">
        <v>0</v>
      </c>
    </row>
    <row r="26" spans="1:22" x14ac:dyDescent="0.25">
      <c r="A26" s="11" t="s">
        <v>159</v>
      </c>
      <c r="B26" s="13">
        <v>2419</v>
      </c>
      <c r="C26" s="14">
        <f>(1998/B26*100)</f>
        <v>82.596114096734183</v>
      </c>
      <c r="D26" s="15">
        <v>421</v>
      </c>
      <c r="E26" s="14">
        <v>58.036337719999999</v>
      </c>
      <c r="F26" s="16">
        <v>2.4033553400000001</v>
      </c>
      <c r="G26" s="14">
        <v>2.72714072</v>
      </c>
      <c r="H26" s="16">
        <v>0.90277346000000003</v>
      </c>
      <c r="I26" s="14">
        <v>20.597594669999999</v>
      </c>
      <c r="J26" s="16">
        <v>2.1095547899999998</v>
      </c>
      <c r="K26" s="14">
        <v>18.63892689</v>
      </c>
      <c r="L26" s="16">
        <v>2.1704164800000001</v>
      </c>
      <c r="M26" s="14" t="s">
        <v>139</v>
      </c>
      <c r="N26" s="16" t="s">
        <v>139</v>
      </c>
      <c r="O26" s="14">
        <v>0</v>
      </c>
      <c r="P26" s="16">
        <v>0</v>
      </c>
      <c r="Q26" s="14">
        <v>0</v>
      </c>
      <c r="R26" s="16">
        <v>0</v>
      </c>
      <c r="S26" s="14">
        <v>0</v>
      </c>
      <c r="T26" s="16">
        <v>0</v>
      </c>
      <c r="U26" s="14">
        <v>0</v>
      </c>
      <c r="V26" s="16">
        <v>0</v>
      </c>
    </row>
    <row r="27" spans="1:22" x14ac:dyDescent="0.25">
      <c r="A27" s="11" t="s">
        <v>160</v>
      </c>
      <c r="B27" s="13">
        <v>2683</v>
      </c>
      <c r="C27" s="14">
        <f>(2254/B27*100)</f>
        <v>84.010436079016031</v>
      </c>
      <c r="D27" s="15">
        <v>429</v>
      </c>
      <c r="E27" s="14">
        <v>58.185673199999997</v>
      </c>
      <c r="F27" s="16">
        <v>2.2545500500000002</v>
      </c>
      <c r="G27" s="14">
        <v>1.63004649</v>
      </c>
      <c r="H27" s="16">
        <v>0.62070904999999998</v>
      </c>
      <c r="I27" s="14">
        <v>25.76280032</v>
      </c>
      <c r="J27" s="16">
        <v>2.1498564899999999</v>
      </c>
      <c r="K27" s="14">
        <v>14.42147999</v>
      </c>
      <c r="L27" s="16">
        <v>1.7099500000000001</v>
      </c>
      <c r="M27" s="14" t="s">
        <v>139</v>
      </c>
      <c r="N27" s="16" t="s">
        <v>139</v>
      </c>
      <c r="O27" s="14">
        <v>0</v>
      </c>
      <c r="P27" s="16">
        <v>0</v>
      </c>
      <c r="Q27" s="14">
        <v>0</v>
      </c>
      <c r="R27" s="16">
        <v>0</v>
      </c>
      <c r="S27" s="14">
        <v>0</v>
      </c>
      <c r="T27" s="16">
        <v>0</v>
      </c>
      <c r="U27" s="14">
        <v>0</v>
      </c>
      <c r="V27" s="16">
        <v>0</v>
      </c>
    </row>
    <row r="28" spans="1:22" x14ac:dyDescent="0.25">
      <c r="A28" s="11" t="s">
        <v>161</v>
      </c>
      <c r="B28" s="13">
        <v>3803</v>
      </c>
      <c r="C28" s="14">
        <f>(3245/B28*100)</f>
        <v>85.327373126479102</v>
      </c>
      <c r="D28" s="15">
        <v>558</v>
      </c>
      <c r="E28" s="14">
        <v>60.082807539999997</v>
      </c>
      <c r="F28" s="16">
        <v>2.3280531299999998</v>
      </c>
      <c r="G28" s="14">
        <v>6.5368445499999996</v>
      </c>
      <c r="H28" s="16">
        <v>0.99162342000000003</v>
      </c>
      <c r="I28" s="14">
        <v>18.725001559999999</v>
      </c>
      <c r="J28" s="16">
        <v>1.6819782999999999</v>
      </c>
      <c r="K28" s="14">
        <v>14.655346339999999</v>
      </c>
      <c r="L28" s="16">
        <v>1.3196151300000001</v>
      </c>
      <c r="M28" s="14" t="s">
        <v>139</v>
      </c>
      <c r="N28" s="16" t="s">
        <v>139</v>
      </c>
      <c r="O28" s="14">
        <v>0</v>
      </c>
      <c r="P28" s="16">
        <v>0</v>
      </c>
      <c r="Q28" s="14">
        <v>0</v>
      </c>
      <c r="R28" s="16">
        <v>0</v>
      </c>
      <c r="S28" s="14">
        <v>0</v>
      </c>
      <c r="T28" s="16">
        <v>0</v>
      </c>
      <c r="U28" s="14">
        <v>0</v>
      </c>
      <c r="V28" s="16">
        <v>0</v>
      </c>
    </row>
    <row r="29" spans="1:22" x14ac:dyDescent="0.25">
      <c r="A29" s="11" t="s">
        <v>162</v>
      </c>
      <c r="B29" s="13">
        <v>2700</v>
      </c>
      <c r="C29" s="14">
        <f>(2266/B29*100)</f>
        <v>83.925925925925924</v>
      </c>
      <c r="D29" s="15">
        <v>434</v>
      </c>
      <c r="E29" s="14">
        <v>45.968351970000001</v>
      </c>
      <c r="F29" s="16">
        <v>2.2506924399999999</v>
      </c>
      <c r="G29" s="14">
        <v>1.3092946299999999</v>
      </c>
      <c r="H29" s="16">
        <v>0.5148218</v>
      </c>
      <c r="I29" s="14">
        <v>37.833990970000002</v>
      </c>
      <c r="J29" s="16">
        <v>2.18029977</v>
      </c>
      <c r="K29" s="14">
        <v>14.888362430000001</v>
      </c>
      <c r="L29" s="16">
        <v>1.9997471200000001</v>
      </c>
      <c r="M29" s="14" t="s">
        <v>139</v>
      </c>
      <c r="N29" s="16" t="s">
        <v>139</v>
      </c>
      <c r="O29" s="14">
        <v>0</v>
      </c>
      <c r="P29" s="16">
        <v>0</v>
      </c>
      <c r="Q29" s="14">
        <v>0</v>
      </c>
      <c r="R29" s="16">
        <v>0</v>
      </c>
      <c r="S29" s="14">
        <v>0</v>
      </c>
      <c r="T29" s="16">
        <v>0</v>
      </c>
      <c r="U29" s="14">
        <v>0</v>
      </c>
      <c r="V29" s="16">
        <v>0</v>
      </c>
    </row>
    <row r="30" spans="1:22" x14ac:dyDescent="0.25">
      <c r="A30" s="11" t="s">
        <v>163</v>
      </c>
      <c r="B30" s="13">
        <v>2257</v>
      </c>
      <c r="C30" s="14">
        <f>(1934/B30*100)</f>
        <v>85.688967656180765</v>
      </c>
      <c r="D30" s="15">
        <v>323</v>
      </c>
      <c r="E30" s="14">
        <v>39.308126540000004</v>
      </c>
      <c r="F30" s="16">
        <v>3.00676626</v>
      </c>
      <c r="G30" s="14">
        <v>1.0193214399999999</v>
      </c>
      <c r="H30" s="16">
        <v>0.51433176000000003</v>
      </c>
      <c r="I30" s="14">
        <v>29.55021945</v>
      </c>
      <c r="J30" s="16">
        <v>2.8551608000000002</v>
      </c>
      <c r="K30" s="14">
        <v>30.12233256</v>
      </c>
      <c r="L30" s="16">
        <v>2.8272608699999999</v>
      </c>
      <c r="M30" s="14" t="s">
        <v>139</v>
      </c>
      <c r="N30" s="16" t="s">
        <v>139</v>
      </c>
      <c r="O30" s="14">
        <v>0</v>
      </c>
      <c r="P30" s="16">
        <v>0</v>
      </c>
      <c r="Q30" s="14">
        <v>0</v>
      </c>
      <c r="R30" s="16">
        <v>0</v>
      </c>
      <c r="S30" s="14">
        <v>0</v>
      </c>
      <c r="T30" s="16">
        <v>0</v>
      </c>
      <c r="U30" s="14">
        <v>0</v>
      </c>
      <c r="V30" s="16">
        <v>0</v>
      </c>
    </row>
    <row r="31" spans="1:22" x14ac:dyDescent="0.25">
      <c r="A31" s="11" t="s">
        <v>164</v>
      </c>
      <c r="B31" s="13">
        <v>2706</v>
      </c>
      <c r="C31" s="14">
        <f>(2260/B31*100)</f>
        <v>83.518107908351809</v>
      </c>
      <c r="D31" s="15">
        <v>446</v>
      </c>
      <c r="E31" s="14">
        <v>45.06737622</v>
      </c>
      <c r="F31" s="16">
        <v>2.4072924900000001</v>
      </c>
      <c r="G31" s="14">
        <v>1.69228902</v>
      </c>
      <c r="H31" s="16">
        <v>0.59381852999999996</v>
      </c>
      <c r="I31" s="14">
        <v>32.767775110000002</v>
      </c>
      <c r="J31" s="16">
        <v>2.2048136</v>
      </c>
      <c r="K31" s="14">
        <v>20.472559650000001</v>
      </c>
      <c r="L31" s="16">
        <v>1.951249</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3651</v>
      </c>
      <c r="C33" s="14">
        <f>(3081/B33*100)</f>
        <v>84.387838948233366</v>
      </c>
      <c r="D33" s="15">
        <v>570</v>
      </c>
      <c r="E33" s="14">
        <v>48.213772409999997</v>
      </c>
      <c r="F33" s="16">
        <v>2.1776330000000002</v>
      </c>
      <c r="G33" s="14">
        <v>0.25111960999999999</v>
      </c>
      <c r="H33" s="16">
        <v>0.24968525999999999</v>
      </c>
      <c r="I33" s="14">
        <v>27.90171329</v>
      </c>
      <c r="J33" s="16">
        <v>1.8002176000000001</v>
      </c>
      <c r="K33" s="14">
        <v>23.6333947</v>
      </c>
      <c r="L33" s="16">
        <v>2.3061471199999999</v>
      </c>
      <c r="M33" s="14" t="s">
        <v>139</v>
      </c>
      <c r="N33" s="16" t="s">
        <v>139</v>
      </c>
      <c r="O33" s="14">
        <v>0</v>
      </c>
      <c r="P33" s="16">
        <v>0</v>
      </c>
      <c r="Q33" s="14">
        <v>0</v>
      </c>
      <c r="R33" s="16">
        <v>0</v>
      </c>
      <c r="S33" s="14">
        <v>0</v>
      </c>
      <c r="T33" s="16">
        <v>0</v>
      </c>
      <c r="U33" s="14">
        <v>0</v>
      </c>
      <c r="V33" s="16">
        <v>0</v>
      </c>
    </row>
    <row r="34" spans="1:22" x14ac:dyDescent="0.25">
      <c r="A34" s="11" t="s">
        <v>167</v>
      </c>
      <c r="B34" s="13">
        <v>3035</v>
      </c>
      <c r="C34" s="14">
        <f>(2566/B34*100)</f>
        <v>84.546952224052717</v>
      </c>
      <c r="D34" s="15">
        <v>469</v>
      </c>
      <c r="E34" s="14">
        <v>62.994899539999999</v>
      </c>
      <c r="F34" s="16">
        <v>2.2395319499999999</v>
      </c>
      <c r="G34" s="14">
        <v>4.4874722599999997</v>
      </c>
      <c r="H34" s="16">
        <v>1.0000635200000001</v>
      </c>
      <c r="I34" s="14">
        <v>17.043646599999999</v>
      </c>
      <c r="J34" s="16">
        <v>1.7765308900000001</v>
      </c>
      <c r="K34" s="14">
        <v>15.4739816</v>
      </c>
      <c r="L34" s="16">
        <v>1.8807231099999999</v>
      </c>
      <c r="M34" s="14" t="s">
        <v>139</v>
      </c>
      <c r="N34" s="16" t="s">
        <v>139</v>
      </c>
      <c r="O34" s="14">
        <v>0</v>
      </c>
      <c r="P34" s="16">
        <v>0</v>
      </c>
      <c r="Q34" s="14">
        <v>0</v>
      </c>
      <c r="R34" s="16">
        <v>0</v>
      </c>
      <c r="S34" s="14">
        <v>0</v>
      </c>
      <c r="T34" s="16">
        <v>0</v>
      </c>
      <c r="U34" s="14">
        <v>0</v>
      </c>
      <c r="V34" s="16">
        <v>0</v>
      </c>
    </row>
    <row r="35" spans="1:22" x14ac:dyDescent="0.25">
      <c r="A35" s="11" t="s">
        <v>168</v>
      </c>
      <c r="B35" s="13">
        <v>2901</v>
      </c>
      <c r="C35" s="14">
        <f>(2428/B35*100)</f>
        <v>83.69527749052051</v>
      </c>
      <c r="D35" s="15">
        <v>473</v>
      </c>
      <c r="E35" s="14">
        <v>53.637363200000003</v>
      </c>
      <c r="F35" s="16">
        <v>2.74327685</v>
      </c>
      <c r="G35" s="14">
        <v>1.8910222000000001</v>
      </c>
      <c r="H35" s="16">
        <v>0.66971088999999995</v>
      </c>
      <c r="I35" s="14">
        <v>21.68201084</v>
      </c>
      <c r="J35" s="16">
        <v>2.25804764</v>
      </c>
      <c r="K35" s="14">
        <v>22.789603759999999</v>
      </c>
      <c r="L35" s="16">
        <v>2.2544727299999998</v>
      </c>
      <c r="M35" s="14" t="s">
        <v>139</v>
      </c>
      <c r="N35" s="16" t="s">
        <v>139</v>
      </c>
      <c r="O35" s="14">
        <v>0</v>
      </c>
      <c r="P35" s="16">
        <v>0</v>
      </c>
      <c r="Q35" s="14">
        <v>0</v>
      </c>
      <c r="R35" s="16">
        <v>0</v>
      </c>
      <c r="S35" s="14">
        <v>0</v>
      </c>
      <c r="T35" s="16">
        <v>0</v>
      </c>
      <c r="U35" s="14">
        <v>0</v>
      </c>
      <c r="V35" s="16">
        <v>0</v>
      </c>
    </row>
    <row r="36" spans="1:22" x14ac:dyDescent="0.25">
      <c r="A36" s="11" t="s">
        <v>169</v>
      </c>
      <c r="B36" s="13">
        <v>3404</v>
      </c>
      <c r="C36" s="14">
        <f>(2876/B36*100)</f>
        <v>84.488836662749705</v>
      </c>
      <c r="D36" s="15">
        <v>528</v>
      </c>
      <c r="E36" s="14">
        <v>52.119429439999998</v>
      </c>
      <c r="F36" s="16">
        <v>2.4421537400000002</v>
      </c>
      <c r="G36" s="14">
        <v>2.6526819800000001</v>
      </c>
      <c r="H36" s="16">
        <v>0.73133773000000002</v>
      </c>
      <c r="I36" s="14">
        <v>28.712683739999999</v>
      </c>
      <c r="J36" s="16">
        <v>1.8475256900000001</v>
      </c>
      <c r="K36" s="14">
        <v>16.515204829999998</v>
      </c>
      <c r="L36" s="16">
        <v>1.98172083</v>
      </c>
      <c r="M36" s="14" t="s">
        <v>139</v>
      </c>
      <c r="N36" s="16" t="s">
        <v>139</v>
      </c>
      <c r="O36" s="14">
        <v>0</v>
      </c>
      <c r="P36" s="16">
        <v>0</v>
      </c>
      <c r="Q36" s="14">
        <v>0</v>
      </c>
      <c r="R36" s="16">
        <v>0</v>
      </c>
      <c r="S36" s="14">
        <v>0</v>
      </c>
      <c r="T36" s="16">
        <v>0</v>
      </c>
      <c r="U36" s="14">
        <v>0</v>
      </c>
      <c r="V36" s="16">
        <v>0</v>
      </c>
    </row>
    <row r="37" spans="1:22" x14ac:dyDescent="0.25">
      <c r="A37" s="11" t="s">
        <v>170</v>
      </c>
      <c r="B37" s="13">
        <v>2731</v>
      </c>
      <c r="C37" s="14">
        <f>(2304/B37*100)</f>
        <v>84.364701574514839</v>
      </c>
      <c r="D37" s="15">
        <v>427</v>
      </c>
      <c r="E37" s="14">
        <v>46.672521189999998</v>
      </c>
      <c r="F37" s="16">
        <v>2.3781431400000002</v>
      </c>
      <c r="G37" s="14">
        <v>2.0350629900000001</v>
      </c>
      <c r="H37" s="16">
        <v>0.66773612000000004</v>
      </c>
      <c r="I37" s="14">
        <v>29.709076100000001</v>
      </c>
      <c r="J37" s="16">
        <v>2.5912322400000001</v>
      </c>
      <c r="K37" s="14">
        <v>21.583339720000001</v>
      </c>
      <c r="L37" s="16">
        <v>2.4099124500000002</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2938</v>
      </c>
      <c r="C39" s="14">
        <f>(2419/B39*100)</f>
        <v>82.334921715452694</v>
      </c>
      <c r="D39" s="15">
        <v>519</v>
      </c>
      <c r="E39" s="14">
        <v>78.979161199999993</v>
      </c>
      <c r="F39" s="16">
        <v>2.1521595699999998</v>
      </c>
      <c r="G39" s="14">
        <v>2.5520488800000001</v>
      </c>
      <c r="H39" s="16">
        <v>0.70604588000000001</v>
      </c>
      <c r="I39" s="14">
        <v>9.6533983699999997</v>
      </c>
      <c r="J39" s="16">
        <v>1.48046623</v>
      </c>
      <c r="K39" s="14">
        <v>8.8153915600000001</v>
      </c>
      <c r="L39" s="16">
        <v>1.2790716499999999</v>
      </c>
      <c r="M39" s="14" t="s">
        <v>139</v>
      </c>
      <c r="N39" s="16" t="s">
        <v>139</v>
      </c>
      <c r="O39" s="14">
        <v>0</v>
      </c>
      <c r="P39" s="16">
        <v>0</v>
      </c>
      <c r="Q39" s="14">
        <v>0</v>
      </c>
      <c r="R39" s="16">
        <v>0</v>
      </c>
      <c r="S39" s="14">
        <v>0</v>
      </c>
      <c r="T39" s="16">
        <v>0</v>
      </c>
      <c r="U39" s="14">
        <v>0</v>
      </c>
      <c r="V39" s="16">
        <v>0</v>
      </c>
    </row>
    <row r="40" spans="1:22" x14ac:dyDescent="0.25">
      <c r="A40" s="11" t="s">
        <v>173</v>
      </c>
      <c r="B40" s="13">
        <v>6922</v>
      </c>
      <c r="C40" s="14">
        <f>(5755/B40*100)</f>
        <v>83.140710777232016</v>
      </c>
      <c r="D40" s="15">
        <v>1167</v>
      </c>
      <c r="E40" s="14">
        <v>45.689505680000003</v>
      </c>
      <c r="F40" s="16">
        <v>2.0552487099999999</v>
      </c>
      <c r="G40" s="14">
        <v>2.41061573</v>
      </c>
      <c r="H40" s="16">
        <v>0.66407965000000002</v>
      </c>
      <c r="I40" s="14">
        <v>31.19799093</v>
      </c>
      <c r="J40" s="16">
        <v>2.0343645499999998</v>
      </c>
      <c r="K40" s="14">
        <v>20.701887660000001</v>
      </c>
      <c r="L40" s="16">
        <v>1.6054830499999999</v>
      </c>
      <c r="M40" s="14" t="s">
        <v>139</v>
      </c>
      <c r="N40" s="16" t="s">
        <v>139</v>
      </c>
      <c r="O40" s="14">
        <v>0</v>
      </c>
      <c r="P40" s="16">
        <v>0</v>
      </c>
      <c r="Q40" s="14">
        <v>0</v>
      </c>
      <c r="R40" s="16">
        <v>0</v>
      </c>
      <c r="S40" s="14">
        <v>0</v>
      </c>
      <c r="T40" s="16">
        <v>0</v>
      </c>
      <c r="U40" s="14">
        <v>0</v>
      </c>
      <c r="V40" s="16">
        <v>0</v>
      </c>
    </row>
    <row r="41" spans="1:22" x14ac:dyDescent="0.25">
      <c r="A41" s="11" t="s">
        <v>174</v>
      </c>
      <c r="B41" s="13">
        <v>2854</v>
      </c>
      <c r="C41" s="14">
        <f>(2378/B41*100)</f>
        <v>83.321653819201131</v>
      </c>
      <c r="D41" s="15">
        <v>476</v>
      </c>
      <c r="E41" s="14">
        <v>39.799404750000001</v>
      </c>
      <c r="F41" s="16">
        <v>2.54718592</v>
      </c>
      <c r="G41" s="14">
        <v>2.23825406</v>
      </c>
      <c r="H41" s="16">
        <v>0.66714317999999995</v>
      </c>
      <c r="I41" s="14">
        <v>30.990009239999999</v>
      </c>
      <c r="J41" s="16">
        <v>2.40651328</v>
      </c>
      <c r="K41" s="14">
        <v>26.972331950000001</v>
      </c>
      <c r="L41" s="16">
        <v>2.1734566700000002</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3612.53125</v>
      </c>
      <c r="C42" s="14">
        <f>IF(COUNT(C7:C41) &gt; 0, AVERAGE(C7:C41), "—")</f>
        <v>83.765661303866892</v>
      </c>
      <c r="D42" s="15">
        <f>IF(COUNT(D7:D41) &gt; 0, AVERAGE(D7:D41), "—")</f>
        <v>587.25</v>
      </c>
      <c r="E42" s="14">
        <f>IF(COUNT(E7:E41) &gt; 0, AVERAGE(E7:E41), "—")</f>
        <v>50.415680628749996</v>
      </c>
      <c r="F42" s="16">
        <f>IF(COUNT(F7:F41) &gt; 0, SQRT(SUMSQ(F7:F41)/(COUNT(F7:F41)*COUNT(F7:F41)) ), "—")</f>
        <v>0.41570649508170465</v>
      </c>
      <c r="G42" s="14">
        <f>IF(COUNT(G7:G41) &gt; 0, AVERAGE(G7:G41), "—")</f>
        <v>2.4245747459374996</v>
      </c>
      <c r="H42" s="16">
        <f>IF(COUNT(H7:H41) &gt; 0, SQRT(SUMSQ(H7:H41)/(COUNT(H7:H41)*COUNT(H7:H41)) ), "—")</f>
        <v>0.12123649822389361</v>
      </c>
      <c r="I42" s="14">
        <f>IF(COUNT(I7:I41) &gt; 0, AVERAGE(I7:I41), "—")</f>
        <v>25.741993871562492</v>
      </c>
      <c r="J42" s="16">
        <f>IF(COUNT(J7:J41) &gt; 0, SQRT(SUMSQ(J7:J41)/(COUNT(J7:J41)*COUNT(J7:J41)) ), "—")</f>
        <v>0.36021805522961775</v>
      </c>
      <c r="K42" s="14">
        <f>IF(COUNT(K7:K41) &gt; 0, AVERAGE(K7:K41), "—")</f>
        <v>21.417750754062499</v>
      </c>
      <c r="L42" s="16">
        <f>IF(COUNT(L7:L41) &gt; 0, SQRT(SUMSQ(L7:L41)/(COUNT(L7:L41)*COUNT(L7:L41)) ), "—")</f>
        <v>0.34761630443746694</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12073</v>
      </c>
      <c r="C46" s="14">
        <f>(10715/B46*100)</f>
        <v>88.751760125900773</v>
      </c>
      <c r="D46" s="15">
        <v>1358</v>
      </c>
      <c r="E46" s="14">
        <v>72.024451799999994</v>
      </c>
      <c r="F46" s="16">
        <v>1.5630945300000001</v>
      </c>
      <c r="G46" s="14">
        <v>3.11890014</v>
      </c>
      <c r="H46" s="16">
        <v>0.70154225000000003</v>
      </c>
      <c r="I46" s="14">
        <v>17.55801653</v>
      </c>
      <c r="J46" s="16">
        <v>1.29402675</v>
      </c>
      <c r="K46" s="14">
        <v>7.2986315299999998</v>
      </c>
      <c r="L46" s="16">
        <v>1.0835541900000001</v>
      </c>
      <c r="M46" s="14" t="s">
        <v>139</v>
      </c>
      <c r="N46" s="16" t="s">
        <v>139</v>
      </c>
      <c r="O46" s="14">
        <v>0</v>
      </c>
      <c r="P46" s="16">
        <v>0</v>
      </c>
      <c r="Q46" s="14">
        <v>0</v>
      </c>
      <c r="R46" s="16">
        <v>0</v>
      </c>
      <c r="S46" s="14">
        <v>0</v>
      </c>
      <c r="T46" s="16">
        <v>0</v>
      </c>
      <c r="U46" s="14">
        <v>0</v>
      </c>
      <c r="V46" s="16">
        <v>0</v>
      </c>
    </row>
    <row r="47" spans="1:22" x14ac:dyDescent="0.25">
      <c r="A47" s="11" t="s">
        <v>180</v>
      </c>
      <c r="B47" s="13">
        <v>2823</v>
      </c>
      <c r="C47" s="14">
        <f>(2372/B47*100)</f>
        <v>84.02408784980517</v>
      </c>
      <c r="D47" s="15">
        <v>451</v>
      </c>
      <c r="E47" s="14">
        <v>69.874069109999994</v>
      </c>
      <c r="F47" s="16">
        <v>1.97107923</v>
      </c>
      <c r="G47" s="14">
        <v>2.39539283</v>
      </c>
      <c r="H47" s="16">
        <v>0.82747535999999999</v>
      </c>
      <c r="I47" s="14">
        <v>17.075122100000002</v>
      </c>
      <c r="J47" s="16">
        <v>1.53971328</v>
      </c>
      <c r="K47" s="14">
        <v>10.65541595</v>
      </c>
      <c r="L47" s="16">
        <v>1.4009650300000001</v>
      </c>
      <c r="M47" s="14" t="s">
        <v>139</v>
      </c>
      <c r="N47" s="16" t="s">
        <v>139</v>
      </c>
      <c r="O47" s="14">
        <v>0</v>
      </c>
      <c r="P47" s="16">
        <v>0</v>
      </c>
      <c r="Q47" s="14">
        <v>0</v>
      </c>
      <c r="R47" s="16">
        <v>0</v>
      </c>
      <c r="S47" s="14">
        <v>0</v>
      </c>
      <c r="T47" s="16">
        <v>0</v>
      </c>
      <c r="U47" s="14">
        <v>0</v>
      </c>
      <c r="V47" s="16">
        <v>0</v>
      </c>
    </row>
    <row r="48" spans="1:22" x14ac:dyDescent="0.25">
      <c r="A48" s="11" t="s">
        <v>181</v>
      </c>
      <c r="B48" s="13">
        <v>4682</v>
      </c>
      <c r="C48" s="14">
        <f>(3905/B48*100)</f>
        <v>83.404527979495953</v>
      </c>
      <c r="D48" s="15">
        <v>777</v>
      </c>
      <c r="E48" s="14">
        <v>49.363745420000001</v>
      </c>
      <c r="F48" s="16">
        <v>2.2698696799999998</v>
      </c>
      <c r="G48" s="14">
        <v>3.8805968100000001</v>
      </c>
      <c r="H48" s="16">
        <v>1.18853589</v>
      </c>
      <c r="I48" s="14">
        <v>15.235653340000001</v>
      </c>
      <c r="J48" s="16">
        <v>1.6433577699999999</v>
      </c>
      <c r="K48" s="14">
        <v>31.52000443</v>
      </c>
      <c r="L48" s="16">
        <v>2.45450525</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6158</v>
      </c>
      <c r="C50" s="14">
        <f>(5217/B50*100)</f>
        <v>84.719064631373826</v>
      </c>
      <c r="D50" s="15">
        <v>941</v>
      </c>
      <c r="E50" s="14">
        <v>68.687327710000005</v>
      </c>
      <c r="F50" s="16">
        <v>1.86392118</v>
      </c>
      <c r="G50" s="14">
        <v>2.9332693999999999</v>
      </c>
      <c r="H50" s="16">
        <v>0.69026564000000001</v>
      </c>
      <c r="I50" s="14">
        <v>16.64267143</v>
      </c>
      <c r="J50" s="16">
        <v>1.40523318</v>
      </c>
      <c r="K50" s="14">
        <v>11.73673146</v>
      </c>
      <c r="L50" s="16">
        <v>1.5994040199999999</v>
      </c>
      <c r="M50" s="14" t="s">
        <v>139</v>
      </c>
      <c r="N50" s="16" t="s">
        <v>139</v>
      </c>
      <c r="O50" s="14">
        <v>0</v>
      </c>
      <c r="P50" s="16">
        <v>0</v>
      </c>
      <c r="Q50" s="14">
        <v>0</v>
      </c>
      <c r="R50" s="16">
        <v>0</v>
      </c>
      <c r="S50" s="14">
        <v>0</v>
      </c>
      <c r="T50" s="16">
        <v>0</v>
      </c>
      <c r="U50" s="14">
        <v>0</v>
      </c>
      <c r="V50" s="16">
        <v>0</v>
      </c>
    </row>
    <row r="51" spans="1:22" x14ac:dyDescent="0.25">
      <c r="A51" s="11" t="s">
        <v>184</v>
      </c>
      <c r="B51" s="13">
        <v>3494</v>
      </c>
      <c r="C51" s="14">
        <f>(3036/B51*100)</f>
        <v>86.891814539210074</v>
      </c>
      <c r="D51" s="15">
        <v>458</v>
      </c>
      <c r="E51" s="14">
        <v>75.699672800000002</v>
      </c>
      <c r="F51" s="16">
        <v>2.01477314</v>
      </c>
      <c r="G51" s="14">
        <v>1.7936547599999999</v>
      </c>
      <c r="H51" s="16">
        <v>0.72825825</v>
      </c>
      <c r="I51" s="14">
        <v>14.0642709</v>
      </c>
      <c r="J51" s="16">
        <v>1.4907427900000001</v>
      </c>
      <c r="K51" s="14">
        <v>8.4424015299999997</v>
      </c>
      <c r="L51" s="16">
        <v>1.4689618499999999</v>
      </c>
      <c r="M51" s="14" t="s">
        <v>139</v>
      </c>
      <c r="N51" s="16" t="s">
        <v>139</v>
      </c>
      <c r="O51" s="14">
        <v>0</v>
      </c>
      <c r="P51" s="16">
        <v>0</v>
      </c>
      <c r="Q51" s="14">
        <v>0</v>
      </c>
      <c r="R51" s="16">
        <v>0</v>
      </c>
      <c r="S51" s="14">
        <v>0</v>
      </c>
      <c r="T51" s="16">
        <v>0</v>
      </c>
      <c r="U51" s="14">
        <v>0</v>
      </c>
      <c r="V51" s="16">
        <v>0</v>
      </c>
    </row>
    <row r="52" spans="1:22" x14ac:dyDescent="0.25">
      <c r="A52" s="11" t="s">
        <v>185</v>
      </c>
      <c r="B52" s="13">
        <v>3013</v>
      </c>
      <c r="C52" s="14">
        <f>(2506/B52*100)</f>
        <v>83.172917358114844</v>
      </c>
      <c r="D52" s="15">
        <v>507</v>
      </c>
      <c r="E52" s="14">
        <v>66.162185289999996</v>
      </c>
      <c r="F52" s="16">
        <v>1.9967114800000001</v>
      </c>
      <c r="G52" s="14">
        <v>1.28046565</v>
      </c>
      <c r="H52" s="16">
        <v>0.56403318000000002</v>
      </c>
      <c r="I52" s="14">
        <v>24.342844620000001</v>
      </c>
      <c r="J52" s="16">
        <v>1.7927318800000001</v>
      </c>
      <c r="K52" s="14">
        <v>8.2145044400000007</v>
      </c>
      <c r="L52" s="16">
        <v>1.24856368</v>
      </c>
      <c r="M52" s="14" t="s">
        <v>139</v>
      </c>
      <c r="N52" s="16" t="s">
        <v>139</v>
      </c>
      <c r="O52" s="14">
        <v>0</v>
      </c>
      <c r="P52" s="16">
        <v>0</v>
      </c>
      <c r="Q52" s="14">
        <v>0</v>
      </c>
      <c r="R52" s="16">
        <v>0</v>
      </c>
      <c r="S52" s="14">
        <v>0</v>
      </c>
      <c r="T52" s="16">
        <v>0</v>
      </c>
      <c r="U52" s="14">
        <v>0</v>
      </c>
      <c r="V52" s="16">
        <v>0</v>
      </c>
    </row>
    <row r="53" spans="1:22" x14ac:dyDescent="0.25">
      <c r="A53" s="11" t="s">
        <v>186</v>
      </c>
      <c r="B53" s="13">
        <v>2760</v>
      </c>
      <c r="C53" s="14">
        <f>(2338/B53*100)</f>
        <v>84.710144927536234</v>
      </c>
      <c r="D53" s="15">
        <v>422</v>
      </c>
      <c r="E53" s="14">
        <v>62.2939978</v>
      </c>
      <c r="F53" s="16">
        <v>2.3540446099999999</v>
      </c>
      <c r="G53" s="14">
        <v>3.72494748</v>
      </c>
      <c r="H53" s="16">
        <v>0.97344065999999996</v>
      </c>
      <c r="I53" s="14">
        <v>18.55038545</v>
      </c>
      <c r="J53" s="16">
        <v>1.7810708</v>
      </c>
      <c r="K53" s="14">
        <v>15.430669269999999</v>
      </c>
      <c r="L53" s="16">
        <v>1.7627464399999999</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2675</v>
      </c>
      <c r="C56" s="14">
        <f>(2210/B56*100)</f>
        <v>82.616822429906549</v>
      </c>
      <c r="D56" s="15">
        <v>465</v>
      </c>
      <c r="E56" s="14">
        <v>23.681153250000001</v>
      </c>
      <c r="F56" s="16">
        <v>2.0362087799999999</v>
      </c>
      <c r="G56" s="14">
        <v>0.96865418000000003</v>
      </c>
      <c r="H56" s="16">
        <v>0.47026135000000002</v>
      </c>
      <c r="I56" s="14">
        <v>22.83709567</v>
      </c>
      <c r="J56" s="16">
        <v>2.3514997499999999</v>
      </c>
      <c r="K56" s="14">
        <v>52.51309689</v>
      </c>
      <c r="L56" s="16">
        <v>2.23781198</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3201</v>
      </c>
      <c r="C61" s="14">
        <f>(2666/B61*100)</f>
        <v>83.28647297719462</v>
      </c>
      <c r="D61" s="15">
        <v>535</v>
      </c>
      <c r="E61" s="14">
        <v>64.843419319999995</v>
      </c>
      <c r="F61" s="16">
        <v>2.22804432</v>
      </c>
      <c r="G61" s="14">
        <v>1.9072193399999999</v>
      </c>
      <c r="H61" s="16">
        <v>0.72129951000000003</v>
      </c>
      <c r="I61" s="14">
        <v>21.117729709999999</v>
      </c>
      <c r="J61" s="16">
        <v>1.93021113</v>
      </c>
      <c r="K61" s="14">
        <v>12.13163164</v>
      </c>
      <c r="L61" s="16">
        <v>1.5105017599999999</v>
      </c>
      <c r="M61" s="14" t="s">
        <v>139</v>
      </c>
      <c r="N61" s="16" t="s">
        <v>139</v>
      </c>
      <c r="O61" s="14">
        <v>0</v>
      </c>
      <c r="P61" s="16">
        <v>0</v>
      </c>
      <c r="Q61" s="14">
        <v>0</v>
      </c>
      <c r="R61" s="16">
        <v>0</v>
      </c>
      <c r="S61" s="14">
        <v>0</v>
      </c>
      <c r="T61" s="16">
        <v>0</v>
      </c>
      <c r="U61" s="14">
        <v>0</v>
      </c>
      <c r="V61" s="16">
        <v>0</v>
      </c>
    </row>
    <row r="62" spans="1:22" x14ac:dyDescent="0.25">
      <c r="A62" s="11" t="s">
        <v>195</v>
      </c>
      <c r="B62" s="13">
        <v>2230</v>
      </c>
      <c r="C62" s="14">
        <f>(1871/B62*100)</f>
        <v>83.901345291479828</v>
      </c>
      <c r="D62" s="15">
        <v>359</v>
      </c>
      <c r="E62" s="14">
        <v>27.070820879999999</v>
      </c>
      <c r="F62" s="16">
        <v>2.4665687599999999</v>
      </c>
      <c r="G62" s="14">
        <v>1.95462691</v>
      </c>
      <c r="H62" s="16">
        <v>0.75388500999999997</v>
      </c>
      <c r="I62" s="14">
        <v>15.00302557</v>
      </c>
      <c r="J62" s="16">
        <v>1.8254469600000001</v>
      </c>
      <c r="K62" s="14">
        <v>55.97152664</v>
      </c>
      <c r="L62" s="16">
        <v>2.5479602699999999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2771</v>
      </c>
      <c r="C66" s="14">
        <f>(2319/B66*100)</f>
        <v>83.688199206062791</v>
      </c>
      <c r="D66" s="15">
        <v>452</v>
      </c>
      <c r="E66" s="14">
        <v>76.880511319999997</v>
      </c>
      <c r="F66" s="16">
        <v>1.9625971200000001</v>
      </c>
      <c r="G66" s="14">
        <v>4.1660217900000003</v>
      </c>
      <c r="H66" s="16">
        <v>0.98205229999999999</v>
      </c>
      <c r="I66" s="14">
        <v>13.3109118</v>
      </c>
      <c r="J66" s="16">
        <v>1.6375742600000001</v>
      </c>
      <c r="K66" s="14">
        <v>5.6425550800000002</v>
      </c>
      <c r="L66" s="16">
        <v>1.1305468999999999</v>
      </c>
      <c r="M66" s="14" t="s">
        <v>139</v>
      </c>
      <c r="N66" s="16" t="s">
        <v>139</v>
      </c>
      <c r="O66" s="14">
        <v>0</v>
      </c>
      <c r="P66" s="16">
        <v>0</v>
      </c>
      <c r="Q66" s="14">
        <v>0</v>
      </c>
      <c r="R66" s="16">
        <v>0</v>
      </c>
      <c r="S66" s="14">
        <v>0</v>
      </c>
      <c r="T66" s="16">
        <v>0</v>
      </c>
      <c r="U66" s="14">
        <v>0</v>
      </c>
      <c r="V66" s="16">
        <v>0</v>
      </c>
    </row>
    <row r="67" spans="1:22" x14ac:dyDescent="0.25">
      <c r="A67" s="11" t="s">
        <v>200</v>
      </c>
      <c r="B67" s="13">
        <v>3460</v>
      </c>
      <c r="C67" s="14">
        <f>(3015/B67*100)</f>
        <v>87.138728323699425</v>
      </c>
      <c r="D67" s="15">
        <v>445</v>
      </c>
      <c r="E67" s="14">
        <v>66.532841450000006</v>
      </c>
      <c r="F67" s="16">
        <v>2.6319925</v>
      </c>
      <c r="G67" s="14">
        <v>2.2104114699999999</v>
      </c>
      <c r="H67" s="16">
        <v>0.64626985000000003</v>
      </c>
      <c r="I67" s="14">
        <v>17.870588569999999</v>
      </c>
      <c r="J67" s="16">
        <v>1.72818486</v>
      </c>
      <c r="K67" s="14">
        <v>13.38615851</v>
      </c>
      <c r="L67" s="16">
        <v>1.9050374800000001</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3107</v>
      </c>
      <c r="C70" s="14">
        <f>(2604/B70*100)</f>
        <v>83.810749919536534</v>
      </c>
      <c r="D70" s="15">
        <v>503</v>
      </c>
      <c r="E70" s="14">
        <v>71.526576910000003</v>
      </c>
      <c r="F70" s="16">
        <v>2.0072457300000002</v>
      </c>
      <c r="G70" s="14">
        <v>4.0328334100000003</v>
      </c>
      <c r="H70" s="16">
        <v>1.2039289200000001</v>
      </c>
      <c r="I70" s="14">
        <v>9.0947809599999996</v>
      </c>
      <c r="J70" s="16">
        <v>1.7645942699999999</v>
      </c>
      <c r="K70" s="14">
        <v>15.345808720000001</v>
      </c>
      <c r="L70" s="16">
        <v>1.5410099900000001</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3819</v>
      </c>
      <c r="C72" s="14">
        <f>(3157/B72*100)</f>
        <v>82.665619272060752</v>
      </c>
      <c r="D72" s="15">
        <v>662</v>
      </c>
      <c r="E72" s="14">
        <v>30.414365579999998</v>
      </c>
      <c r="F72" s="16">
        <v>1.9227694</v>
      </c>
      <c r="G72" s="14">
        <v>0.53822495999999997</v>
      </c>
      <c r="H72" s="16">
        <v>0.28616245000000001</v>
      </c>
      <c r="I72" s="14">
        <v>19.006870599999999</v>
      </c>
      <c r="J72" s="16">
        <v>1.5489430200000001</v>
      </c>
      <c r="K72" s="14">
        <v>50.040538849999997</v>
      </c>
      <c r="L72" s="16">
        <v>1.9402840299999999</v>
      </c>
      <c r="M72" s="14" t="s">
        <v>139</v>
      </c>
      <c r="N72" s="16" t="s">
        <v>139</v>
      </c>
      <c r="O72" s="14">
        <v>0</v>
      </c>
      <c r="P72" s="16">
        <v>0</v>
      </c>
      <c r="Q72" s="14">
        <v>0</v>
      </c>
      <c r="R72" s="16">
        <v>0</v>
      </c>
      <c r="S72" s="14">
        <v>0</v>
      </c>
      <c r="T72" s="16">
        <v>0</v>
      </c>
      <c r="U72" s="14">
        <v>0</v>
      </c>
      <c r="V72" s="16">
        <v>0</v>
      </c>
    </row>
    <row r="73" spans="1:22" x14ac:dyDescent="0.25">
      <c r="A73" s="11" t="s">
        <v>206</v>
      </c>
      <c r="B73" s="13">
        <v>4652</v>
      </c>
      <c r="C73" s="14">
        <f>(3969/B73*100)</f>
        <v>85.318142734307827</v>
      </c>
      <c r="D73" s="15">
        <v>683</v>
      </c>
      <c r="E73" s="14">
        <v>51.503972910000002</v>
      </c>
      <c r="F73" s="16">
        <v>2.4282467799999998</v>
      </c>
      <c r="G73" s="14">
        <v>4.5570853099999997</v>
      </c>
      <c r="H73" s="16">
        <v>0.98446721999999998</v>
      </c>
      <c r="I73" s="14">
        <v>10.249258060000001</v>
      </c>
      <c r="J73" s="16">
        <v>1.48165408</v>
      </c>
      <c r="K73" s="14">
        <v>33.689683719999998</v>
      </c>
      <c r="L73" s="16">
        <v>2.44501897</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2969</v>
      </c>
      <c r="C75" s="14">
        <f>(2543/B75*100)</f>
        <v>85.651734590771298</v>
      </c>
      <c r="D75" s="15">
        <v>426</v>
      </c>
      <c r="E75" s="14">
        <v>78.197832829999996</v>
      </c>
      <c r="F75" s="16">
        <v>2.2334361700000001</v>
      </c>
      <c r="G75" s="14">
        <v>3.6575514899999999</v>
      </c>
      <c r="H75" s="16">
        <v>1.00934905</v>
      </c>
      <c r="I75" s="14">
        <v>13.19477721</v>
      </c>
      <c r="J75" s="16">
        <v>1.75044782</v>
      </c>
      <c r="K75" s="14">
        <v>4.9498384800000004</v>
      </c>
      <c r="L75" s="16">
        <v>1.1924394</v>
      </c>
      <c r="M75" s="14" t="s">
        <v>139</v>
      </c>
      <c r="N75" s="16" t="s">
        <v>139</v>
      </c>
      <c r="O75" s="14">
        <v>0</v>
      </c>
      <c r="P75" s="16">
        <v>0</v>
      </c>
      <c r="Q75" s="14">
        <v>0</v>
      </c>
      <c r="R75" s="16">
        <v>0</v>
      </c>
      <c r="S75" s="14">
        <v>0</v>
      </c>
      <c r="T75" s="16">
        <v>0</v>
      </c>
      <c r="U75" s="14">
        <v>0</v>
      </c>
      <c r="V75" s="16">
        <v>0</v>
      </c>
    </row>
    <row r="76" spans="1:22" x14ac:dyDescent="0.25">
      <c r="A76" s="11" t="s">
        <v>209</v>
      </c>
      <c r="B76" s="13">
        <v>7115</v>
      </c>
      <c r="C76" s="14">
        <f>(5922/B76*100)</f>
        <v>83.232607167955024</v>
      </c>
      <c r="D76" s="15">
        <v>1193</v>
      </c>
      <c r="E76" s="14">
        <v>63.203294739999997</v>
      </c>
      <c r="F76" s="16">
        <v>1.5598932299999999</v>
      </c>
      <c r="G76" s="14">
        <v>3.1278080099999999</v>
      </c>
      <c r="H76" s="16">
        <v>0.59678536000000004</v>
      </c>
      <c r="I76" s="14">
        <v>21.64014491</v>
      </c>
      <c r="J76" s="16">
        <v>1.4657585399999999</v>
      </c>
      <c r="K76" s="14">
        <v>12.02875235</v>
      </c>
      <c r="L76" s="16">
        <v>1.2004175100000001</v>
      </c>
      <c r="M76" s="14" t="s">
        <v>139</v>
      </c>
      <c r="N76" s="16" t="s">
        <v>139</v>
      </c>
      <c r="O76" s="14">
        <v>0</v>
      </c>
      <c r="P76" s="16">
        <v>0</v>
      </c>
      <c r="Q76" s="14">
        <v>0</v>
      </c>
      <c r="R76" s="16">
        <v>0</v>
      </c>
      <c r="S76" s="14">
        <v>0</v>
      </c>
      <c r="T76" s="16">
        <v>0</v>
      </c>
      <c r="U76" s="14">
        <v>0</v>
      </c>
      <c r="V76" s="16">
        <v>0</v>
      </c>
    </row>
    <row r="77" spans="1:22" x14ac:dyDescent="0.25">
      <c r="A77" s="11" t="s">
        <v>210</v>
      </c>
      <c r="B77" s="13">
        <v>3154</v>
      </c>
      <c r="C77" s="14">
        <f>(2678/B77*100)</f>
        <v>84.908053265694363</v>
      </c>
      <c r="D77" s="15">
        <v>476</v>
      </c>
      <c r="E77" s="14">
        <v>64.868193730000002</v>
      </c>
      <c r="F77" s="16">
        <v>2.2830913900000001</v>
      </c>
      <c r="G77" s="14">
        <v>2.9165988600000001</v>
      </c>
      <c r="H77" s="16">
        <v>0.87151902000000003</v>
      </c>
      <c r="I77" s="14">
        <v>21.235107169999999</v>
      </c>
      <c r="J77" s="16">
        <v>1.9734758299999999</v>
      </c>
      <c r="K77" s="14">
        <v>10.980100240000001</v>
      </c>
      <c r="L77" s="16">
        <v>1.61833761</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4698</v>
      </c>
      <c r="C81" s="14">
        <f>(3914/B81*100)</f>
        <v>83.312047679863781</v>
      </c>
      <c r="D81" s="15">
        <v>784</v>
      </c>
      <c r="E81" s="14">
        <v>61.618517130000001</v>
      </c>
      <c r="F81" s="16">
        <v>2.2077436000000001</v>
      </c>
      <c r="G81" s="14">
        <v>6.3724460199999999</v>
      </c>
      <c r="H81" s="16">
        <v>1.1518470199999999</v>
      </c>
      <c r="I81" s="14">
        <v>20.682865329999998</v>
      </c>
      <c r="J81" s="16">
        <v>1.74170253</v>
      </c>
      <c r="K81" s="14">
        <v>11.326171520000001</v>
      </c>
      <c r="L81" s="16">
        <v>1.43592951</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(6051/B7*100)</f>
        <v>84.475778305179389</v>
      </c>
      <c r="D7" s="15">
        <v>1112</v>
      </c>
      <c r="E7" s="14">
        <v>61.02752924</v>
      </c>
      <c r="F7" s="16">
        <v>1.58873164</v>
      </c>
      <c r="G7" s="14">
        <v>38.97247076</v>
      </c>
      <c r="H7" s="16">
        <v>1.58873164</v>
      </c>
      <c r="I7" s="14" t="s">
        <v>139</v>
      </c>
      <c r="J7" s="16" t="s">
        <v>139</v>
      </c>
      <c r="K7" s="14">
        <v>0</v>
      </c>
      <c r="L7" s="16">
        <v>0</v>
      </c>
      <c r="M7" s="14">
        <v>0</v>
      </c>
      <c r="N7" s="16">
        <v>0</v>
      </c>
      <c r="O7" s="14">
        <v>0</v>
      </c>
      <c r="P7" s="16">
        <v>0</v>
      </c>
      <c r="Q7" s="14">
        <v>0</v>
      </c>
      <c r="R7" s="16">
        <v>0</v>
      </c>
    </row>
    <row r="8" spans="1:18" x14ac:dyDescent="0.25">
      <c r="A8" s="11" t="s">
        <v>140</v>
      </c>
      <c r="B8" s="13">
        <v>3443</v>
      </c>
      <c r="C8" s="14">
        <f>(2878/B8*100)</f>
        <v>83.589892535579438</v>
      </c>
      <c r="D8" s="15">
        <v>565</v>
      </c>
      <c r="E8" s="14">
        <v>71.235684899999995</v>
      </c>
      <c r="F8" s="16">
        <v>1.81707792</v>
      </c>
      <c r="G8" s="14">
        <v>28.764315100000001</v>
      </c>
      <c r="H8" s="16">
        <v>1.81707792</v>
      </c>
      <c r="I8" s="14" t="s">
        <v>139</v>
      </c>
      <c r="J8" s="16" t="s">
        <v>139</v>
      </c>
      <c r="K8" s="14">
        <v>0</v>
      </c>
      <c r="L8" s="16">
        <v>0</v>
      </c>
      <c r="M8" s="14">
        <v>0</v>
      </c>
      <c r="N8" s="16">
        <v>0</v>
      </c>
      <c r="O8" s="14">
        <v>0</v>
      </c>
      <c r="P8" s="16">
        <v>0</v>
      </c>
      <c r="Q8" s="14">
        <v>0</v>
      </c>
      <c r="R8" s="16">
        <v>0</v>
      </c>
    </row>
    <row r="9" spans="1:18" x14ac:dyDescent="0.25">
      <c r="A9" s="11" t="s">
        <v>141</v>
      </c>
      <c r="B9" s="13">
        <v>4752</v>
      </c>
      <c r="C9" s="14">
        <f>(4059/B9*100)</f>
        <v>85.416666666666657</v>
      </c>
      <c r="D9" s="15">
        <v>693</v>
      </c>
      <c r="E9" s="14">
        <v>61.735288949999997</v>
      </c>
      <c r="F9" s="16">
        <v>1.9104605699999999</v>
      </c>
      <c r="G9" s="14">
        <v>38.264711050000003</v>
      </c>
      <c r="H9" s="16">
        <v>1.9104605699999999</v>
      </c>
      <c r="I9" s="14" t="s">
        <v>139</v>
      </c>
      <c r="J9" s="16" t="s">
        <v>139</v>
      </c>
      <c r="K9" s="14">
        <v>0</v>
      </c>
      <c r="L9" s="16">
        <v>0</v>
      </c>
      <c r="M9" s="14">
        <v>0</v>
      </c>
      <c r="N9" s="16">
        <v>0</v>
      </c>
      <c r="O9" s="14">
        <v>0</v>
      </c>
      <c r="P9" s="16">
        <v>0</v>
      </c>
      <c r="Q9" s="14">
        <v>0</v>
      </c>
      <c r="R9" s="16">
        <v>0</v>
      </c>
    </row>
    <row r="10" spans="1:18" x14ac:dyDescent="0.25">
      <c r="A10" s="11" t="s">
        <v>142</v>
      </c>
      <c r="B10" s="13">
        <v>10022</v>
      </c>
      <c r="C10" s="14">
        <f>(8384/B10*100)</f>
        <v>83.655956894831377</v>
      </c>
      <c r="D10" s="15">
        <v>1638</v>
      </c>
      <c r="E10" s="14">
        <v>58.75885229</v>
      </c>
      <c r="F10" s="16">
        <v>1.2913299899999999</v>
      </c>
      <c r="G10" s="14">
        <v>41.24114771</v>
      </c>
      <c r="H10" s="16">
        <v>1.2913299899999999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(2983/B11*100)</f>
        <v>85.228571428571428</v>
      </c>
      <c r="D11" s="15">
        <v>517</v>
      </c>
      <c r="E11" s="14">
        <v>64.269403249999996</v>
      </c>
      <c r="F11" s="16">
        <v>2.5552451399999998</v>
      </c>
      <c r="G11" s="14">
        <v>35.730596749999997</v>
      </c>
      <c r="H11" s="16">
        <v>2.5552451399999998</v>
      </c>
      <c r="I11" s="14" t="s">
        <v>139</v>
      </c>
      <c r="J11" s="16" t="s">
        <v>139</v>
      </c>
      <c r="K11" s="14">
        <v>0</v>
      </c>
      <c r="L11" s="16">
        <v>0</v>
      </c>
      <c r="M11" s="14">
        <v>0</v>
      </c>
      <c r="N11" s="16">
        <v>0</v>
      </c>
      <c r="O11" s="14">
        <v>0</v>
      </c>
      <c r="P11" s="16">
        <v>0</v>
      </c>
      <c r="Q11" s="14">
        <v>0</v>
      </c>
      <c r="R11" s="16">
        <v>0</v>
      </c>
    </row>
    <row r="12" spans="1:18" x14ac:dyDescent="0.25">
      <c r="A12" s="11" t="s">
        <v>144</v>
      </c>
      <c r="B12" s="13">
        <v>3422</v>
      </c>
      <c r="C12" s="14">
        <f>(2925/B12*100)</f>
        <v>85.476329631794272</v>
      </c>
      <c r="D12" s="15">
        <v>497</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3602</v>
      </c>
      <c r="C13" s="14">
        <f>(3060/B13*100)</f>
        <v>84.952803997779014</v>
      </c>
      <c r="D13" s="15">
        <v>542</v>
      </c>
      <c r="E13" s="14">
        <v>69.708142280000004</v>
      </c>
      <c r="F13" s="16">
        <v>2.2497048300000002</v>
      </c>
      <c r="G13" s="14">
        <v>30.291857719999999</v>
      </c>
      <c r="H13" s="16">
        <v>2.2497048300000002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(2333/B14*100)</f>
        <v>83.680057388809175</v>
      </c>
      <c r="D14" s="15">
        <v>455</v>
      </c>
      <c r="E14" s="14">
        <v>67.637530279999993</v>
      </c>
      <c r="F14" s="16">
        <v>2.4465900199999999</v>
      </c>
      <c r="G14" s="14">
        <v>32.36246972</v>
      </c>
      <c r="H14" s="16">
        <v>2.4465900199999999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(2398/B15*100)</f>
        <v>83.758295494236819</v>
      </c>
      <c r="D15" s="15">
        <v>465</v>
      </c>
      <c r="E15" s="14">
        <v>65.876607120000003</v>
      </c>
      <c r="F15" s="16">
        <v>2.1354532599999998</v>
      </c>
      <c r="G15" s="14">
        <v>34.123392879999997</v>
      </c>
      <c r="H15" s="16">
        <v>2.1354532599999998</v>
      </c>
      <c r="I15" s="14" t="s">
        <v>139</v>
      </c>
      <c r="J15" s="16" t="s">
        <v>139</v>
      </c>
      <c r="K15" s="14">
        <v>0</v>
      </c>
      <c r="L15" s="16">
        <v>0</v>
      </c>
      <c r="M15" s="14">
        <v>0</v>
      </c>
      <c r="N15" s="16">
        <v>0</v>
      </c>
      <c r="O15" s="14">
        <v>0</v>
      </c>
      <c r="P15" s="16">
        <v>0</v>
      </c>
      <c r="Q15" s="14">
        <v>0</v>
      </c>
      <c r="R15" s="16">
        <v>0</v>
      </c>
    </row>
    <row r="16" spans="1:18" x14ac:dyDescent="0.25">
      <c r="A16" s="11" t="s">
        <v>148</v>
      </c>
      <c r="B16" s="13">
        <v>3111</v>
      </c>
      <c r="C16" s="14">
        <f>(2617/B16*100)</f>
        <v>84.120861459337831</v>
      </c>
      <c r="D16" s="15">
        <v>494</v>
      </c>
      <c r="E16" s="14">
        <v>69.743390680000005</v>
      </c>
      <c r="F16" s="16">
        <v>1.8647141899999999</v>
      </c>
      <c r="G16" s="14">
        <v>30.256609319999999</v>
      </c>
      <c r="H16" s="16">
        <v>1.8647141899999999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(2676/B17*100)</f>
        <v>83.703472005004684</v>
      </c>
      <c r="D17" s="15">
        <v>521</v>
      </c>
      <c r="E17" s="14">
        <v>64.608240480000006</v>
      </c>
      <c r="F17" s="16">
        <v>2.09623822</v>
      </c>
      <c r="G17" s="14">
        <v>35.391759520000001</v>
      </c>
      <c r="H17" s="16">
        <v>2.09623822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(2251/B18*100)</f>
        <v>83.185513673318553</v>
      </c>
      <c r="D18" s="15">
        <v>455</v>
      </c>
      <c r="E18" s="14">
        <v>64.527766009999993</v>
      </c>
      <c r="F18" s="16">
        <v>2.5419863999999999</v>
      </c>
      <c r="G18" s="14">
        <v>35.472233989999999</v>
      </c>
      <c r="H18" s="16">
        <v>2.5419863999999999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(2422/B19*100)</f>
        <v>84.982456140350877</v>
      </c>
      <c r="D19" s="15">
        <v>428</v>
      </c>
      <c r="E19" s="14">
        <v>81.880264339999997</v>
      </c>
      <c r="F19" s="16">
        <v>2.0307724999999999</v>
      </c>
      <c r="G19" s="14">
        <v>18.11973566</v>
      </c>
      <c r="H19" s="16">
        <v>2.0307724999999999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(1468/B20*100)</f>
        <v>84.319356691556578</v>
      </c>
      <c r="D20" s="15">
        <v>273</v>
      </c>
      <c r="E20" s="14">
        <v>78.440524179999997</v>
      </c>
      <c r="F20" s="16">
        <v>2.2369555299999999</v>
      </c>
      <c r="G20" s="14">
        <v>21.559475819999999</v>
      </c>
      <c r="H20" s="16">
        <v>2.2369555299999999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(3172/B22*100)</f>
        <v>86.501227161167165</v>
      </c>
      <c r="D22" s="15">
        <v>495</v>
      </c>
      <c r="E22" s="14">
        <v>64.378826360000005</v>
      </c>
      <c r="F22" s="16">
        <v>2.1208725899999998</v>
      </c>
      <c r="G22" s="14">
        <v>35.621173640000002</v>
      </c>
      <c r="H22" s="16">
        <v>2.1208725899999998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0.47016996</v>
      </c>
      <c r="F23" s="16">
        <v>6.5310350000000003E-2</v>
      </c>
      <c r="G23" s="14">
        <v>0.31243091000000001</v>
      </c>
      <c r="H23" s="16">
        <v>5.2811080000000003E-2</v>
      </c>
      <c r="I23" s="14" t="s">
        <v>139</v>
      </c>
      <c r="J23" s="16" t="s">
        <v>139</v>
      </c>
      <c r="K23" s="14">
        <v>0</v>
      </c>
      <c r="L23" s="16">
        <v>0</v>
      </c>
      <c r="M23" s="14">
        <v>99.217399119999996</v>
      </c>
      <c r="N23" s="16">
        <v>8.7546509999999994E-2</v>
      </c>
      <c r="O23" s="14">
        <v>0</v>
      </c>
      <c r="P23" s="16">
        <v>0</v>
      </c>
      <c r="Q23" s="14">
        <v>0</v>
      </c>
      <c r="R23" s="16">
        <v>0</v>
      </c>
    </row>
    <row r="24" spans="1:18" x14ac:dyDescent="0.25">
      <c r="A24" s="11" t="s">
        <v>157</v>
      </c>
      <c r="B24" s="13">
        <v>3309</v>
      </c>
      <c r="C24" s="14">
        <f>(2755/B24*100)</f>
        <v>83.257781807192515</v>
      </c>
      <c r="D24" s="15">
        <v>554</v>
      </c>
      <c r="E24" s="14">
        <v>73.865688419999998</v>
      </c>
      <c r="F24" s="16">
        <v>2.2138658100000002</v>
      </c>
      <c r="G24" s="14">
        <v>26.134311579999999</v>
      </c>
      <c r="H24" s="16">
        <v>2.2138658100000002</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70.667044730000001</v>
      </c>
      <c r="F25" s="16">
        <v>2.3510186700000002</v>
      </c>
      <c r="G25" s="14">
        <v>29.332955269999999</v>
      </c>
      <c r="H25" s="16">
        <v>2.3510186700000002</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(2010/B26*100)</f>
        <v>83.092186854071926</v>
      </c>
      <c r="D26" s="15">
        <v>409</v>
      </c>
      <c r="E26" s="14">
        <v>65.905080990000002</v>
      </c>
      <c r="F26" s="16">
        <v>2.5275070099999999</v>
      </c>
      <c r="G26" s="14">
        <v>34.094919009999998</v>
      </c>
      <c r="H26" s="16">
        <v>2.5275070099999999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(2273/B27*100)</f>
        <v>84.718598583674989</v>
      </c>
      <c r="D27" s="15">
        <v>410</v>
      </c>
      <c r="E27" s="14">
        <v>74.518815439999997</v>
      </c>
      <c r="F27" s="16">
        <v>2.3220900100000001</v>
      </c>
      <c r="G27" s="14">
        <v>25.481184559999999</v>
      </c>
      <c r="H27" s="16">
        <v>2.3220900100000001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(3283/B28*100)</f>
        <v>86.326584275571918</v>
      </c>
      <c r="D28" s="15">
        <v>520</v>
      </c>
      <c r="E28" s="14">
        <v>70.001846459999996</v>
      </c>
      <c r="F28" s="16">
        <v>2.0570614100000002</v>
      </c>
      <c r="G28" s="14">
        <v>29.998153540000001</v>
      </c>
      <c r="H28" s="16">
        <v>2.0570614100000002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(2267/B29*100)</f>
        <v>83.962962962962962</v>
      </c>
      <c r="D29" s="15">
        <v>433</v>
      </c>
      <c r="E29" s="14">
        <v>50.483793380000002</v>
      </c>
      <c r="F29" s="16">
        <v>2.74219876</v>
      </c>
      <c r="G29" s="14">
        <v>49.516206619999998</v>
      </c>
      <c r="H29" s="16">
        <v>2.74219876</v>
      </c>
      <c r="I29" s="14" t="s">
        <v>139</v>
      </c>
      <c r="J29" s="16" t="s">
        <v>139</v>
      </c>
      <c r="K29" s="14">
        <v>0</v>
      </c>
      <c r="L29" s="16">
        <v>0</v>
      </c>
      <c r="M29" s="14">
        <v>0</v>
      </c>
      <c r="N29" s="16">
        <v>0</v>
      </c>
      <c r="O29" s="14">
        <v>0</v>
      </c>
      <c r="P29" s="16">
        <v>0</v>
      </c>
      <c r="Q29" s="14">
        <v>0</v>
      </c>
      <c r="R29" s="16">
        <v>0</v>
      </c>
    </row>
    <row r="30" spans="1:18" x14ac:dyDescent="0.25">
      <c r="A30" s="11" t="s">
        <v>163</v>
      </c>
      <c r="B30" s="13">
        <v>2257</v>
      </c>
      <c r="C30" s="14">
        <f>(1948/B30*100)</f>
        <v>86.30926007975188</v>
      </c>
      <c r="D30" s="15">
        <v>309</v>
      </c>
      <c r="E30" s="14">
        <v>68.631529520000001</v>
      </c>
      <c r="F30" s="16">
        <v>2.4939600199999998</v>
      </c>
      <c r="G30" s="14">
        <v>31.368470479999999</v>
      </c>
      <c r="H30" s="16">
        <v>2.4939600199999998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(2279/B31*100)</f>
        <v>84.220251293422024</v>
      </c>
      <c r="D31" s="15">
        <v>427</v>
      </c>
      <c r="E31" s="14">
        <v>55.441358780000002</v>
      </c>
      <c r="F31" s="16">
        <v>2.57420217</v>
      </c>
      <c r="G31" s="14">
        <v>44.558641219999998</v>
      </c>
      <c r="H31" s="16">
        <v>2.57420217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(3129/B33*100)</f>
        <v>85.702547247329491</v>
      </c>
      <c r="D33" s="15">
        <v>522</v>
      </c>
      <c r="E33" s="14">
        <v>51.288069890000003</v>
      </c>
      <c r="F33" s="16">
        <v>2.3270053700000002</v>
      </c>
      <c r="G33" s="14">
        <v>48.711930109999997</v>
      </c>
      <c r="H33" s="16">
        <v>2.3270053700000002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(2594/B34*100)</f>
        <v>85.469522240527183</v>
      </c>
      <c r="D34" s="15">
        <v>441</v>
      </c>
      <c r="E34" s="14">
        <v>61.428402370000001</v>
      </c>
      <c r="F34" s="16">
        <v>2.0177845799999998</v>
      </c>
      <c r="G34" s="14">
        <v>38.571597629999999</v>
      </c>
      <c r="H34" s="16">
        <v>2.0177845799999998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(2436/B35*100)</f>
        <v>83.971044467425031</v>
      </c>
      <c r="D35" s="15">
        <v>465</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3404</v>
      </c>
      <c r="C36" s="14">
        <f>(2906/B36*100)</f>
        <v>85.370152761457106</v>
      </c>
      <c r="D36" s="15">
        <v>498</v>
      </c>
      <c r="E36" s="14">
        <v>75.455505610000003</v>
      </c>
      <c r="F36" s="16">
        <v>2.1190669899999999</v>
      </c>
      <c r="G36" s="14">
        <v>24.544494390000001</v>
      </c>
      <c r="H36" s="16">
        <v>2.1190669899999999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(2333/B37*100)</f>
        <v>85.426583668985728</v>
      </c>
      <c r="D37" s="15">
        <v>398</v>
      </c>
      <c r="E37" s="14">
        <v>58.005657640000003</v>
      </c>
      <c r="F37" s="16">
        <v>2.25928028</v>
      </c>
      <c r="G37" s="14">
        <v>41.994342359999997</v>
      </c>
      <c r="H37" s="16">
        <v>2.25928028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(2422/B39*100)</f>
        <v>82.437031994554118</v>
      </c>
      <c r="D39" s="15">
        <v>516</v>
      </c>
      <c r="E39" s="14">
        <v>67.523336619999995</v>
      </c>
      <c r="F39" s="16">
        <v>2.1931421599999998</v>
      </c>
      <c r="G39" s="14">
        <v>32.476663379999998</v>
      </c>
      <c r="H39" s="16">
        <v>2.1931421599999998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(5778/B40*100)</f>
        <v>83.472984686506791</v>
      </c>
      <c r="D40" s="15">
        <v>1144</v>
      </c>
      <c r="E40" s="14">
        <v>62.588070530000003</v>
      </c>
      <c r="F40" s="16">
        <v>2.47201212</v>
      </c>
      <c r="G40" s="14">
        <v>37.411929469999997</v>
      </c>
      <c r="H40" s="16">
        <v>2.47201212</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(2397/B41*100)</f>
        <v>83.987386124737213</v>
      </c>
      <c r="D41" s="15">
        <v>457</v>
      </c>
      <c r="E41" s="14">
        <v>55.86440846</v>
      </c>
      <c r="F41" s="16">
        <v>1.9741245300000001</v>
      </c>
      <c r="G41" s="14">
        <v>44.13559154</v>
      </c>
      <c r="H41" s="16">
        <v>1.9741245300000001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84.4120956548538</v>
      </c>
      <c r="D42" s="15">
        <f>IF(COUNT(D7:D41) &gt; 0, AVERAGE(D7:D41), "—")</f>
        <v>564.375</v>
      </c>
      <c r="E42" s="14">
        <f>IF(COUNT(E7:E41) &gt; 0, AVERAGE(E7:E41), "—")</f>
        <v>59.561463411250003</v>
      </c>
      <c r="F42" s="16">
        <f>IF(COUNT(F7:F41) &gt; 0, SQRT(SUMSQ(F7:F41)/(COUNT(F7:F41)*COUNT(F7:F41)) ), "—")</f>
        <v>0.37231928022323002</v>
      </c>
      <c r="G42" s="14">
        <f>IF(COUNT(G7:G41) &gt; 0, AVERAGE(G7:G41), "—")</f>
        <v>31.087992865937501</v>
      </c>
      <c r="H42" s="16">
        <f>IF(COUNT(H7:H41) &gt; 0, SQRT(SUMSQ(H7:H41)/(COUNT(H7:H41)*COUNT(H7:H41)) ), "—")</f>
        <v>0.37231734393950072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9.3505437224999994</v>
      </c>
      <c r="N42" s="16">
        <f>IF(COUNT(N7:N41) &gt; 0, SQRT(SUMSQ(N7:N41)/(COUNT(N7:N41)*COUNT(N7:N41)) ), "—")</f>
        <v>2.7358284374999998E-3</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(10858/B46*100)</f>
        <v>89.936221320301499</v>
      </c>
      <c r="D46" s="15">
        <v>1215</v>
      </c>
      <c r="E46" s="14">
        <v>74.781594339999998</v>
      </c>
      <c r="F46" s="16">
        <v>1.49693228</v>
      </c>
      <c r="G46" s="14">
        <v>25.218405659999998</v>
      </c>
      <c r="H46" s="16">
        <v>1.49693228</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(2394/B47*100)</f>
        <v>84.803400637619546</v>
      </c>
      <c r="D47" s="15">
        <v>429</v>
      </c>
      <c r="E47" s="14">
        <v>67.327428240000003</v>
      </c>
      <c r="F47" s="16">
        <v>2.7078159099999999</v>
      </c>
      <c r="G47" s="14">
        <v>32.672571759999997</v>
      </c>
      <c r="H47" s="16">
        <v>2.7078159099999999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(3914/B48*100)</f>
        <v>83.596753524134982</v>
      </c>
      <c r="D48" s="15">
        <v>768</v>
      </c>
      <c r="E48" s="14">
        <v>63.55726902</v>
      </c>
      <c r="F48" s="16">
        <v>2.1752184200000002</v>
      </c>
      <c r="G48" s="14">
        <v>36.44273098</v>
      </c>
      <c r="H48" s="16">
        <v>2.1752184200000002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(5269/B50*100)</f>
        <v>85.563494641117245</v>
      </c>
      <c r="D50" s="15">
        <v>889</v>
      </c>
      <c r="E50" s="14">
        <v>65.07618884</v>
      </c>
      <c r="F50" s="16">
        <v>2.2745346799999999</v>
      </c>
      <c r="G50" s="14">
        <v>34.92381116</v>
      </c>
      <c r="H50" s="16">
        <v>2.2745346799999999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(3057/B51*100)</f>
        <v>87.492844876931883</v>
      </c>
      <c r="D51" s="15">
        <v>437</v>
      </c>
      <c r="E51" s="14">
        <v>73.3878998</v>
      </c>
      <c r="F51" s="16">
        <v>2.2005203199999999</v>
      </c>
      <c r="G51" s="14">
        <v>26.6121002</v>
      </c>
      <c r="H51" s="16">
        <v>2.2005203199999999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(2516/B52*100)</f>
        <v>83.504812479256557</v>
      </c>
      <c r="D52" s="15">
        <v>497</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2760</v>
      </c>
      <c r="C53" s="14">
        <f>(2355/B53*100)</f>
        <v>85.326086956521735</v>
      </c>
      <c r="D53" s="15">
        <v>405</v>
      </c>
      <c r="E53" s="14">
        <v>55.379268760000002</v>
      </c>
      <c r="F53" s="16">
        <v>2.4029305399999998</v>
      </c>
      <c r="G53" s="14">
        <v>44.620731239999998</v>
      </c>
      <c r="H53" s="16">
        <v>2.4029305399999998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(2213/B56*100)</f>
        <v>82.728971962616825</v>
      </c>
      <c r="D56" s="15">
        <v>462</v>
      </c>
      <c r="E56" s="14">
        <v>41.995645029999999</v>
      </c>
      <c r="F56" s="16">
        <v>2.2271340799999999</v>
      </c>
      <c r="G56" s="14">
        <v>58.004354970000001</v>
      </c>
      <c r="H56" s="16">
        <v>2.2271340799999999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(2681/B61*100)</f>
        <v>83.75507653858169</v>
      </c>
      <c r="D61" s="15">
        <v>520</v>
      </c>
      <c r="E61" s="14">
        <v>4.56779504</v>
      </c>
      <c r="F61" s="16">
        <v>0.54647000999999995</v>
      </c>
      <c r="G61" s="14">
        <v>1.74640021</v>
      </c>
      <c r="H61" s="16">
        <v>0.36621036000000001</v>
      </c>
      <c r="I61" s="14" t="s">
        <v>139</v>
      </c>
      <c r="J61" s="16" t="s">
        <v>139</v>
      </c>
      <c r="K61" s="14">
        <v>0</v>
      </c>
      <c r="L61" s="16">
        <v>0</v>
      </c>
      <c r="M61" s="14">
        <v>93.685804750000003</v>
      </c>
      <c r="N61" s="16">
        <v>0.63787587999999995</v>
      </c>
      <c r="O61" s="14">
        <v>0</v>
      </c>
      <c r="P61" s="16">
        <v>0</v>
      </c>
      <c r="Q61" s="14">
        <v>0</v>
      </c>
      <c r="R61" s="16">
        <v>0</v>
      </c>
    </row>
    <row r="62" spans="1:18" x14ac:dyDescent="0.25">
      <c r="A62" s="11" t="s">
        <v>195</v>
      </c>
      <c r="B62" s="13">
        <v>2230</v>
      </c>
      <c r="C62" s="14">
        <f>(1886/B62*100)</f>
        <v>84.573991031390136</v>
      </c>
      <c r="D62" s="15">
        <v>344</v>
      </c>
      <c r="E62" s="14">
        <v>27.035996300000001</v>
      </c>
      <c r="F62" s="16">
        <v>2.5663427200000002</v>
      </c>
      <c r="G62" s="14">
        <v>72.964003700000006</v>
      </c>
      <c r="H62" s="16">
        <v>2.5663427200000002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71.611424819999996</v>
      </c>
      <c r="F66" s="16">
        <v>2.2830366600000001</v>
      </c>
      <c r="G66" s="14">
        <v>28.38857518</v>
      </c>
      <c r="H66" s="16">
        <v>2.2830366600000001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(3054/B67*100)</f>
        <v>88.265895953757223</v>
      </c>
      <c r="D67" s="15">
        <v>406</v>
      </c>
      <c r="E67" s="14">
        <v>63.417762289999999</v>
      </c>
      <c r="F67" s="16">
        <v>2.5806984900000001</v>
      </c>
      <c r="G67" s="14">
        <v>36.582237710000001</v>
      </c>
      <c r="H67" s="16">
        <v>2.5806984900000001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(2622/B70*100)</f>
        <v>84.390086900547161</v>
      </c>
      <c r="D70" s="15">
        <v>485</v>
      </c>
      <c r="E70" s="14">
        <v>66.502365010000005</v>
      </c>
      <c r="F70" s="16">
        <v>2.1615315900000001</v>
      </c>
      <c r="G70" s="14">
        <v>33.497634990000002</v>
      </c>
      <c r="H70" s="16">
        <v>2.1615315900000001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(3163/B72*100)</f>
        <v>82.822728462948419</v>
      </c>
      <c r="D72" s="15">
        <v>656</v>
      </c>
      <c r="E72" s="14">
        <v>77.453331719999994</v>
      </c>
      <c r="F72" s="16">
        <v>1.79627264</v>
      </c>
      <c r="G72" s="14">
        <v>22.546668279999999</v>
      </c>
      <c r="H72" s="16">
        <v>1.79627264</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(4002/B73*100)</f>
        <v>86.027515047291487</v>
      </c>
      <c r="D73" s="15">
        <v>650</v>
      </c>
      <c r="E73" s="14">
        <v>47.742185499999998</v>
      </c>
      <c r="F73" s="16">
        <v>2.5653997500000001</v>
      </c>
      <c r="G73" s="14">
        <v>52.257814500000002</v>
      </c>
      <c r="H73" s="16">
        <v>2.5653997500000001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(2554/B75*100)</f>
        <v>86.022229706972041</v>
      </c>
      <c r="D75" s="15">
        <v>415</v>
      </c>
      <c r="E75" s="14">
        <v>85.310104929999994</v>
      </c>
      <c r="F75" s="16">
        <v>1.7911651</v>
      </c>
      <c r="G75" s="14">
        <v>14.68989507</v>
      </c>
      <c r="H75" s="16">
        <v>1.7911651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(5930/B76*100)</f>
        <v>83.345045678144771</v>
      </c>
      <c r="D76" s="15">
        <v>1185</v>
      </c>
      <c r="E76" s="14">
        <v>73.896037629999995</v>
      </c>
      <c r="F76" s="16">
        <v>1.3928103999999999</v>
      </c>
      <c r="G76" s="14">
        <v>26.103962370000001</v>
      </c>
      <c r="H76" s="16">
        <v>1.3928103999999999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(2698/B77*100)</f>
        <v>85.542168674698786</v>
      </c>
      <c r="D77" s="15">
        <v>456</v>
      </c>
      <c r="E77" s="14">
        <v>65.2860893</v>
      </c>
      <c r="F77" s="16">
        <v>2.2344292399999999</v>
      </c>
      <c r="G77" s="14">
        <v>34.7139107</v>
      </c>
      <c r="H77" s="16">
        <v>2.2344292399999999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69.922580969999999</v>
      </c>
      <c r="F81" s="16">
        <v>2.1263802799999998</v>
      </c>
      <c r="G81" s="14">
        <v>30.077419030000001</v>
      </c>
      <c r="H81" s="16">
        <v>2.1263802799999998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(6051/B7*100)</f>
        <v>84.475778305179389</v>
      </c>
      <c r="D7" s="15">
        <v>1112</v>
      </c>
      <c r="E7" s="14">
        <v>39.96649875</v>
      </c>
      <c r="F7" s="16">
        <v>1.7905217099999999</v>
      </c>
      <c r="G7" s="14">
        <v>60.03350125</v>
      </c>
      <c r="H7" s="16">
        <v>1.7905217099999999</v>
      </c>
      <c r="I7" s="14" t="s">
        <v>139</v>
      </c>
      <c r="J7" s="16" t="s">
        <v>139</v>
      </c>
      <c r="K7" s="14">
        <v>0</v>
      </c>
      <c r="L7" s="16">
        <v>0</v>
      </c>
      <c r="M7" s="14">
        <v>0</v>
      </c>
      <c r="N7" s="16">
        <v>0</v>
      </c>
      <c r="O7" s="14">
        <v>0</v>
      </c>
      <c r="P7" s="16">
        <v>0</v>
      </c>
      <c r="Q7" s="14">
        <v>0</v>
      </c>
      <c r="R7" s="16">
        <v>0</v>
      </c>
    </row>
    <row r="8" spans="1:18" x14ac:dyDescent="0.25">
      <c r="A8" s="11" t="s">
        <v>140</v>
      </c>
      <c r="B8" s="13">
        <v>3443</v>
      </c>
      <c r="C8" s="14">
        <f>(2878/B8*100)</f>
        <v>83.589892535579438</v>
      </c>
      <c r="D8" s="15">
        <v>565</v>
      </c>
      <c r="E8" s="14">
        <v>56.44532968</v>
      </c>
      <c r="F8" s="16">
        <v>2.2860272799999999</v>
      </c>
      <c r="G8" s="14">
        <v>43.55467032</v>
      </c>
      <c r="H8" s="16">
        <v>2.2860272799999999</v>
      </c>
      <c r="I8" s="14" t="s">
        <v>139</v>
      </c>
      <c r="J8" s="16" t="s">
        <v>139</v>
      </c>
      <c r="K8" s="14">
        <v>0</v>
      </c>
      <c r="L8" s="16">
        <v>0</v>
      </c>
      <c r="M8" s="14">
        <v>0</v>
      </c>
      <c r="N8" s="16">
        <v>0</v>
      </c>
      <c r="O8" s="14">
        <v>0</v>
      </c>
      <c r="P8" s="16">
        <v>0</v>
      </c>
      <c r="Q8" s="14">
        <v>0</v>
      </c>
      <c r="R8" s="16">
        <v>0</v>
      </c>
    </row>
    <row r="9" spans="1:18" x14ac:dyDescent="0.25">
      <c r="A9" s="11" t="s">
        <v>141</v>
      </c>
      <c r="B9" s="13">
        <v>4752</v>
      </c>
      <c r="C9" s="14">
        <f>(4059/B9*100)</f>
        <v>85.416666666666657</v>
      </c>
      <c r="D9" s="15">
        <v>693</v>
      </c>
      <c r="E9" s="14">
        <v>59.866467550000003</v>
      </c>
      <c r="F9" s="16">
        <v>2.0740551699999998</v>
      </c>
      <c r="G9" s="14">
        <v>40.133532449999997</v>
      </c>
      <c r="H9" s="16">
        <v>2.0740551699999998</v>
      </c>
      <c r="I9" s="14" t="s">
        <v>139</v>
      </c>
      <c r="J9" s="16" t="s">
        <v>139</v>
      </c>
      <c r="K9" s="14">
        <v>0</v>
      </c>
      <c r="L9" s="16">
        <v>0</v>
      </c>
      <c r="M9" s="14">
        <v>0</v>
      </c>
      <c r="N9" s="16">
        <v>0</v>
      </c>
      <c r="O9" s="14">
        <v>0</v>
      </c>
      <c r="P9" s="16">
        <v>0</v>
      </c>
      <c r="Q9" s="14">
        <v>0</v>
      </c>
      <c r="R9" s="16">
        <v>0</v>
      </c>
    </row>
    <row r="10" spans="1:18" x14ac:dyDescent="0.25">
      <c r="A10" s="11" t="s">
        <v>142</v>
      </c>
      <c r="B10" s="13">
        <v>10022</v>
      </c>
      <c r="C10" s="14">
        <f>(8384/B10*100)</f>
        <v>83.655956894831377</v>
      </c>
      <c r="D10" s="15">
        <v>1638</v>
      </c>
      <c r="E10" s="14">
        <v>37.987662090000001</v>
      </c>
      <c r="F10" s="16">
        <v>1.6427673899999999</v>
      </c>
      <c r="G10" s="14">
        <v>62.012337909999999</v>
      </c>
      <c r="H10" s="16">
        <v>1.6427673899999999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(2983/B11*100)</f>
        <v>85.228571428571428</v>
      </c>
      <c r="D11" s="15">
        <v>517</v>
      </c>
      <c r="E11" s="14">
        <v>52.356764740000003</v>
      </c>
      <c r="F11" s="16">
        <v>2.3232527599999999</v>
      </c>
      <c r="G11" s="14">
        <v>47.643235259999997</v>
      </c>
      <c r="H11" s="16">
        <v>2.3232527599999999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(2925/B12*100)</f>
        <v>85.476329631794272</v>
      </c>
      <c r="D12" s="15">
        <v>497</v>
      </c>
      <c r="E12" s="14">
        <v>48.686381969999999</v>
      </c>
      <c r="F12" s="16">
        <v>2.44426509</v>
      </c>
      <c r="G12" s="14">
        <v>51.313618030000001</v>
      </c>
      <c r="H12" s="16">
        <v>2.44426509</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(3060/B13*100)</f>
        <v>84.952803997779014</v>
      </c>
      <c r="D13" s="15">
        <v>542</v>
      </c>
      <c r="E13" s="14">
        <v>54.353643720000001</v>
      </c>
      <c r="F13" s="16">
        <v>2.45807551</v>
      </c>
      <c r="G13" s="14">
        <v>45.646356279999999</v>
      </c>
      <c r="H13" s="16">
        <v>2.45807551</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(2333/B14*100)</f>
        <v>83.680057388809175</v>
      </c>
      <c r="D14" s="15">
        <v>455</v>
      </c>
      <c r="E14" s="14">
        <v>46.734113620000002</v>
      </c>
      <c r="F14" s="16">
        <v>2.6460964499999999</v>
      </c>
      <c r="G14" s="14">
        <v>53.265886379999998</v>
      </c>
      <c r="H14" s="16">
        <v>2.6460964499999999</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(2398/B15*100)</f>
        <v>83.758295494236819</v>
      </c>
      <c r="D15" s="15">
        <v>465</v>
      </c>
      <c r="E15" s="14">
        <v>53.933485419999997</v>
      </c>
      <c r="F15" s="16">
        <v>2.1041904599999999</v>
      </c>
      <c r="G15" s="14">
        <v>46.066514580000003</v>
      </c>
      <c r="H15" s="16">
        <v>2.1041904599999999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(2617/B16*100)</f>
        <v>84.120861459337831</v>
      </c>
      <c r="D16" s="15">
        <v>494</v>
      </c>
      <c r="E16" s="14">
        <v>56.330424639999997</v>
      </c>
      <c r="F16" s="16">
        <v>2.2856560699999999</v>
      </c>
      <c r="G16" s="14">
        <v>43.669575360000003</v>
      </c>
      <c r="H16" s="16">
        <v>2.2856560699999999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(2676/B17*100)</f>
        <v>83.703472005004684</v>
      </c>
      <c r="D17" s="15">
        <v>521</v>
      </c>
      <c r="E17" s="14">
        <v>43.767563199999998</v>
      </c>
      <c r="F17" s="16">
        <v>2.1558031099999999</v>
      </c>
      <c r="G17" s="14">
        <v>56.232436800000002</v>
      </c>
      <c r="H17" s="16">
        <v>2.1558031099999999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(2251/B18*100)</f>
        <v>83.185513673318553</v>
      </c>
      <c r="D18" s="15">
        <v>455</v>
      </c>
      <c r="E18" s="14">
        <v>62.999384059999997</v>
      </c>
      <c r="F18" s="16">
        <v>2.45763577</v>
      </c>
      <c r="G18" s="14">
        <v>37.000615940000003</v>
      </c>
      <c r="H18" s="16">
        <v>2.45763577</v>
      </c>
      <c r="I18" s="14" t="s">
        <v>139</v>
      </c>
      <c r="J18" s="16" t="s">
        <v>139</v>
      </c>
      <c r="K18" s="14">
        <v>0</v>
      </c>
      <c r="L18" s="16">
        <v>0</v>
      </c>
      <c r="M18" s="14">
        <v>0</v>
      </c>
      <c r="N18" s="16">
        <v>0</v>
      </c>
      <c r="O18" s="14">
        <v>0</v>
      </c>
      <c r="P18" s="16">
        <v>0</v>
      </c>
      <c r="Q18" s="14">
        <v>0</v>
      </c>
      <c r="R18" s="16">
        <v>0</v>
      </c>
    </row>
    <row r="19" spans="1:18" x14ac:dyDescent="0.25">
      <c r="A19" s="11" t="s">
        <v>151</v>
      </c>
      <c r="B19" s="13">
        <v>2850</v>
      </c>
      <c r="C19" s="14">
        <f>(2422/B19*100)</f>
        <v>84.982456140350877</v>
      </c>
      <c r="D19" s="15">
        <v>428</v>
      </c>
      <c r="E19" s="14">
        <v>50.986234709999998</v>
      </c>
      <c r="F19" s="16">
        <v>2.4881582</v>
      </c>
      <c r="G19" s="14">
        <v>49.013765290000002</v>
      </c>
      <c r="H19" s="16">
        <v>2.4881582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(1468/B20*100)</f>
        <v>84.319356691556578</v>
      </c>
      <c r="D20" s="15">
        <v>273</v>
      </c>
      <c r="E20" s="14">
        <v>52.801267510000002</v>
      </c>
      <c r="F20" s="16">
        <v>2.66935681</v>
      </c>
      <c r="G20" s="14">
        <v>47.198732489999998</v>
      </c>
      <c r="H20" s="16">
        <v>2.66935681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(3172/B22*100)</f>
        <v>86.501227161167165</v>
      </c>
      <c r="D22" s="15">
        <v>495</v>
      </c>
      <c r="E22" s="14">
        <v>48.619843580000001</v>
      </c>
      <c r="F22" s="16">
        <v>2.6754789899999998</v>
      </c>
      <c r="G22" s="14">
        <v>51.380156419999999</v>
      </c>
      <c r="H22" s="16">
        <v>2.6754789899999998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46.067534279999997</v>
      </c>
      <c r="F23" s="16">
        <v>1.7892180799999999</v>
      </c>
      <c r="G23" s="14">
        <v>53.932465720000003</v>
      </c>
      <c r="H23" s="16">
        <v>1.7892180799999999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(2755/B24*100)</f>
        <v>83.257781807192515</v>
      </c>
      <c r="D24" s="15">
        <v>554</v>
      </c>
      <c r="E24" s="14">
        <v>53.826095860000002</v>
      </c>
      <c r="F24" s="16">
        <v>2.0500674700000001</v>
      </c>
      <c r="G24" s="14">
        <v>46.173904139999998</v>
      </c>
      <c r="H24" s="16">
        <v>2.0500674700000001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56.260835380000003</v>
      </c>
      <c r="F25" s="16">
        <v>2.3271557299999999</v>
      </c>
      <c r="G25" s="14">
        <v>43.739164619999997</v>
      </c>
      <c r="H25" s="16">
        <v>2.3271557299999999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(2010/B26*100)</f>
        <v>83.092186854071926</v>
      </c>
      <c r="D26" s="15">
        <v>409</v>
      </c>
      <c r="E26" s="14">
        <v>57.582188459999998</v>
      </c>
      <c r="F26" s="16">
        <v>2.19450258</v>
      </c>
      <c r="G26" s="14">
        <v>42.417811540000002</v>
      </c>
      <c r="H26" s="16">
        <v>2.19450258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(2273/B27*100)</f>
        <v>84.718598583674989</v>
      </c>
      <c r="D27" s="15">
        <v>410</v>
      </c>
      <c r="E27" s="14">
        <v>45.62268933</v>
      </c>
      <c r="F27" s="16">
        <v>2.0299096799999998</v>
      </c>
      <c r="G27" s="14">
        <v>54.37731067</v>
      </c>
      <c r="H27" s="16">
        <v>2.0299096799999998</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(3283/B28*100)</f>
        <v>86.326584275571918</v>
      </c>
      <c r="D28" s="15">
        <v>520</v>
      </c>
      <c r="E28" s="14">
        <v>47.872261199999997</v>
      </c>
      <c r="F28" s="16">
        <v>2.1461505600000002</v>
      </c>
      <c r="G28" s="14">
        <v>52.127738800000003</v>
      </c>
      <c r="H28" s="16">
        <v>2.1461505600000002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(2267/B29*100)</f>
        <v>83.962962962962962</v>
      </c>
      <c r="D29" s="15">
        <v>433</v>
      </c>
      <c r="E29" s="14">
        <v>59.759427729999999</v>
      </c>
      <c r="F29" s="16">
        <v>2.3392878800000001</v>
      </c>
      <c r="G29" s="14">
        <v>40.240572270000001</v>
      </c>
      <c r="H29" s="16">
        <v>2.3392878800000001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(1948/B30*100)</f>
        <v>86.30926007975188</v>
      </c>
      <c r="D30" s="15">
        <v>309</v>
      </c>
      <c r="E30" s="14">
        <v>40.575098369999999</v>
      </c>
      <c r="F30" s="16">
        <v>3.3931584400000001</v>
      </c>
      <c r="G30" s="14">
        <v>59.424901630000001</v>
      </c>
      <c r="H30" s="16">
        <v>3.3931584400000001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(2279/B31*100)</f>
        <v>84.220251293422024</v>
      </c>
      <c r="D31" s="15">
        <v>427</v>
      </c>
      <c r="E31" s="14">
        <v>49.426042180000003</v>
      </c>
      <c r="F31" s="16">
        <v>2.4728499799999999</v>
      </c>
      <c r="G31" s="14">
        <v>50.573957819999997</v>
      </c>
      <c r="H31" s="16">
        <v>2.4728499799999999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(3129/B33*100)</f>
        <v>85.702547247329491</v>
      </c>
      <c r="D33" s="15">
        <v>522</v>
      </c>
      <c r="E33" s="14">
        <v>48.66394159</v>
      </c>
      <c r="F33" s="16">
        <v>2.7909777500000001</v>
      </c>
      <c r="G33" s="14">
        <v>51.33605841</v>
      </c>
      <c r="H33" s="16">
        <v>2.7909777500000001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(2594/B34*100)</f>
        <v>85.469522240527183</v>
      </c>
      <c r="D34" s="15">
        <v>441</v>
      </c>
      <c r="E34" s="14">
        <v>48.182040469999997</v>
      </c>
      <c r="F34" s="16">
        <v>2.7770219100000002</v>
      </c>
      <c r="G34" s="14">
        <v>51.817959530000003</v>
      </c>
      <c r="H34" s="16">
        <v>2.7770219100000002</v>
      </c>
      <c r="I34" s="14" t="s">
        <v>139</v>
      </c>
      <c r="J34" s="16" t="s">
        <v>139</v>
      </c>
      <c r="K34" s="14">
        <v>0</v>
      </c>
      <c r="L34" s="16">
        <v>0</v>
      </c>
      <c r="M34" s="14">
        <v>0</v>
      </c>
      <c r="N34" s="16">
        <v>0</v>
      </c>
      <c r="O34" s="14">
        <v>0</v>
      </c>
      <c r="P34" s="16">
        <v>0</v>
      </c>
      <c r="Q34" s="14">
        <v>0</v>
      </c>
      <c r="R34" s="16">
        <v>0</v>
      </c>
    </row>
    <row r="35" spans="1:18" x14ac:dyDescent="0.25">
      <c r="A35" s="11" t="s">
        <v>168</v>
      </c>
      <c r="B35" s="13">
        <v>2901</v>
      </c>
      <c r="C35" s="14">
        <f>(2436/B35*100)</f>
        <v>83.971044467425031</v>
      </c>
      <c r="D35" s="15">
        <v>465</v>
      </c>
      <c r="E35" s="14">
        <v>54.103412059999997</v>
      </c>
      <c r="F35" s="16">
        <v>2.7734668299999998</v>
      </c>
      <c r="G35" s="14">
        <v>45.896587940000003</v>
      </c>
      <c r="H35" s="16">
        <v>2.7734668299999998</v>
      </c>
      <c r="I35" s="14" t="s">
        <v>139</v>
      </c>
      <c r="J35" s="16" t="s">
        <v>139</v>
      </c>
      <c r="K35" s="14">
        <v>0</v>
      </c>
      <c r="L35" s="16">
        <v>0</v>
      </c>
      <c r="M35" s="14">
        <v>0</v>
      </c>
      <c r="N35" s="16">
        <v>0</v>
      </c>
      <c r="O35" s="14">
        <v>0</v>
      </c>
      <c r="P35" s="16">
        <v>0</v>
      </c>
      <c r="Q35" s="14">
        <v>0</v>
      </c>
      <c r="R35" s="16">
        <v>0</v>
      </c>
    </row>
    <row r="36" spans="1:18" x14ac:dyDescent="0.25">
      <c r="A36" s="11" t="s">
        <v>169</v>
      </c>
      <c r="B36" s="13">
        <v>3404</v>
      </c>
      <c r="C36" s="14">
        <f>(2906/B36*100)</f>
        <v>85.370152761457106</v>
      </c>
      <c r="D36" s="15">
        <v>498</v>
      </c>
      <c r="E36" s="14">
        <v>49.783048379999997</v>
      </c>
      <c r="F36" s="16">
        <v>2.3505331100000002</v>
      </c>
      <c r="G36" s="14">
        <v>50.216951620000003</v>
      </c>
      <c r="H36" s="16">
        <v>2.3505331100000002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(2333/B37*100)</f>
        <v>85.426583668985728</v>
      </c>
      <c r="D37" s="15">
        <v>398</v>
      </c>
      <c r="E37" s="14">
        <v>38.289148009999998</v>
      </c>
      <c r="F37" s="16">
        <v>2.5298084799999998</v>
      </c>
      <c r="G37" s="14">
        <v>61.710851990000002</v>
      </c>
      <c r="H37" s="16">
        <v>2.5298084799999998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(2422/B39*100)</f>
        <v>82.437031994554118</v>
      </c>
      <c r="D39" s="15">
        <v>516</v>
      </c>
      <c r="E39" s="14">
        <v>64.706710760000007</v>
      </c>
      <c r="F39" s="16">
        <v>2.11759678</v>
      </c>
      <c r="G39" s="14">
        <v>35.29328924</v>
      </c>
      <c r="H39" s="16">
        <v>2.11759678</v>
      </c>
      <c r="I39" s="14" t="s">
        <v>139</v>
      </c>
      <c r="J39" s="16" t="s">
        <v>139</v>
      </c>
      <c r="K39" s="14">
        <v>0</v>
      </c>
      <c r="L39" s="16">
        <v>0</v>
      </c>
      <c r="M39" s="14">
        <v>0</v>
      </c>
      <c r="N39" s="16">
        <v>0</v>
      </c>
      <c r="O39" s="14">
        <v>0</v>
      </c>
      <c r="P39" s="16">
        <v>0</v>
      </c>
      <c r="Q39" s="14">
        <v>0</v>
      </c>
      <c r="R39" s="16">
        <v>0</v>
      </c>
    </row>
    <row r="40" spans="1:18" x14ac:dyDescent="0.25">
      <c r="A40" s="11" t="s">
        <v>173</v>
      </c>
      <c r="B40" s="13">
        <v>6922</v>
      </c>
      <c r="C40" s="14">
        <f>(5778/B40*100)</f>
        <v>83.472984686506791</v>
      </c>
      <c r="D40" s="15">
        <v>1144</v>
      </c>
      <c r="E40" s="14">
        <v>38.8942841</v>
      </c>
      <c r="F40" s="16">
        <v>2.1948241999999998</v>
      </c>
      <c r="G40" s="14">
        <v>61.1057159</v>
      </c>
      <c r="H40" s="16">
        <v>2.1948241999999998</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(2397/B41*100)</f>
        <v>83.987386124737213</v>
      </c>
      <c r="D41" s="15">
        <v>457</v>
      </c>
      <c r="E41" s="14">
        <v>47.00856769</v>
      </c>
      <c r="F41" s="16">
        <v>2.4486422600000002</v>
      </c>
      <c r="G41" s="14">
        <v>52.99143231</v>
      </c>
      <c r="H41" s="16">
        <v>2.4486422600000002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84.4120956548538</v>
      </c>
      <c r="D42" s="15">
        <f>IF(COUNT(D7:D41) &gt; 0, AVERAGE(D7:D41), "—")</f>
        <v>564.375</v>
      </c>
      <c r="E42" s="14">
        <f>IF(COUNT(E7:E41) &gt; 0, AVERAGE(E7:E41), "—")</f>
        <v>50.389324721562495</v>
      </c>
      <c r="F42" s="16">
        <f>IF(COUNT(F7:F41) &gt; 0, SQRT(SUMSQ(F7:F41)/(COUNT(F7:F41)*COUNT(F7:F41)) ), "—")</f>
        <v>0.41989197192392086</v>
      </c>
      <c r="G42" s="14">
        <f>IF(COUNT(G7:G41) &gt; 0, AVERAGE(G7:G41), "—")</f>
        <v>49.610675278437505</v>
      </c>
      <c r="H42" s="16">
        <f>IF(COUNT(H7:H41) &gt; 0, SQRT(SUMSQ(H7:H41)/(COUNT(H7:H41)*COUNT(H7:H41)) ), "—")</f>
        <v>0.41989197192392086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(10858/B46*100)</f>
        <v>89.936221320301499</v>
      </c>
      <c r="D46" s="15">
        <v>1215</v>
      </c>
      <c r="E46" s="14">
        <v>69.786764270000006</v>
      </c>
      <c r="F46" s="16">
        <v>1.6439280700000001</v>
      </c>
      <c r="G46" s="14">
        <v>30.213235730000001</v>
      </c>
      <c r="H46" s="16">
        <v>1.6439280700000001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(2394/B47*100)</f>
        <v>84.803400637619546</v>
      </c>
      <c r="D47" s="15">
        <v>429</v>
      </c>
      <c r="E47" s="14">
        <v>68.206415100000001</v>
      </c>
      <c r="F47" s="16">
        <v>2.1213061199999999</v>
      </c>
      <c r="G47" s="14">
        <v>31.793584899999999</v>
      </c>
      <c r="H47" s="16">
        <v>2.1213061199999999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(3914/B48*100)</f>
        <v>83.596753524134982</v>
      </c>
      <c r="D48" s="15">
        <v>768</v>
      </c>
      <c r="E48" s="14">
        <v>32.711611529999999</v>
      </c>
      <c r="F48" s="16">
        <v>2.23268457</v>
      </c>
      <c r="G48" s="14">
        <v>67.288388470000001</v>
      </c>
      <c r="H48" s="16">
        <v>2.23268457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(5269/B50*100)</f>
        <v>85.563494641117245</v>
      </c>
      <c r="D50" s="15">
        <v>889</v>
      </c>
      <c r="E50" s="14">
        <v>53.203532389999999</v>
      </c>
      <c r="F50" s="16">
        <v>2.23503221</v>
      </c>
      <c r="G50" s="14">
        <v>46.796467610000001</v>
      </c>
      <c r="H50" s="16">
        <v>2.23503221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(3057/B51*100)</f>
        <v>87.492844876931883</v>
      </c>
      <c r="D51" s="15">
        <v>437</v>
      </c>
      <c r="E51" s="14">
        <v>48.609841279999998</v>
      </c>
      <c r="F51" s="16">
        <v>2.5478022400000002</v>
      </c>
      <c r="G51" s="14">
        <v>51.390158720000002</v>
      </c>
      <c r="H51" s="16">
        <v>2.5478022400000002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(2516/B52*100)</f>
        <v>83.504812479256557</v>
      </c>
      <c r="D52" s="15">
        <v>497</v>
      </c>
      <c r="E52" s="14">
        <v>70.897425459999994</v>
      </c>
      <c r="F52" s="16">
        <v>2.5778373999999999</v>
      </c>
      <c r="G52" s="14">
        <v>29.102574539999999</v>
      </c>
      <c r="H52" s="16">
        <v>2.5778373999999999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(2355/B53*100)</f>
        <v>85.326086956521735</v>
      </c>
      <c r="D53" s="15">
        <v>405</v>
      </c>
      <c r="E53" s="14">
        <v>59.144286569999998</v>
      </c>
      <c r="F53" s="16">
        <v>2.5563939800000002</v>
      </c>
      <c r="G53" s="14">
        <v>40.855713430000002</v>
      </c>
      <c r="H53" s="16">
        <v>2.5563939800000002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(2213/B56*100)</f>
        <v>82.728971962616825</v>
      </c>
      <c r="D56" s="15">
        <v>462</v>
      </c>
      <c r="E56" s="14">
        <v>39.96319433</v>
      </c>
      <c r="F56" s="16">
        <v>2.7725944999999999</v>
      </c>
      <c r="G56" s="14">
        <v>60.03680567</v>
      </c>
      <c r="H56" s="16">
        <v>2.7725944999999999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(2681/B61*100)</f>
        <v>83.75507653858169</v>
      </c>
      <c r="D61" s="15">
        <v>520</v>
      </c>
      <c r="E61" s="14">
        <v>54.789031420000001</v>
      </c>
      <c r="F61" s="16">
        <v>2.4515820000000001</v>
      </c>
      <c r="G61" s="14">
        <v>45.210968579999999</v>
      </c>
      <c r="H61" s="16">
        <v>2.4515820000000001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(1886/B62*100)</f>
        <v>84.573991031390136</v>
      </c>
      <c r="D62" s="15">
        <v>344</v>
      </c>
      <c r="E62" s="14">
        <v>39.235959020000003</v>
      </c>
      <c r="F62" s="16">
        <v>2.6352657100000001</v>
      </c>
      <c r="G62" s="14">
        <v>60.764040979999997</v>
      </c>
      <c r="H62" s="16">
        <v>2.6352657100000001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72.076358549999995</v>
      </c>
      <c r="F66" s="16">
        <v>2.32971438</v>
      </c>
      <c r="G66" s="14">
        <v>27.923641450000002</v>
      </c>
      <c r="H66" s="16">
        <v>2.32971438</v>
      </c>
      <c r="I66" s="14" t="s">
        <v>139</v>
      </c>
      <c r="J66" s="16" t="s">
        <v>139</v>
      </c>
      <c r="K66" s="14">
        <v>0</v>
      </c>
      <c r="L66" s="16">
        <v>0</v>
      </c>
      <c r="M66" s="14">
        <v>0</v>
      </c>
      <c r="N66" s="16">
        <v>0</v>
      </c>
      <c r="O66" s="14">
        <v>0</v>
      </c>
      <c r="P66" s="16">
        <v>0</v>
      </c>
      <c r="Q66" s="14">
        <v>0</v>
      </c>
      <c r="R66" s="16">
        <v>0</v>
      </c>
    </row>
    <row r="67" spans="1:18" x14ac:dyDescent="0.25">
      <c r="A67" s="11" t="s">
        <v>200</v>
      </c>
      <c r="B67" s="13">
        <v>3460</v>
      </c>
      <c r="C67" s="14">
        <f>(3054/B67*100)</f>
        <v>88.265895953757223</v>
      </c>
      <c r="D67" s="15">
        <v>406</v>
      </c>
      <c r="E67" s="14">
        <v>54.582888969999999</v>
      </c>
      <c r="F67" s="16">
        <v>2.5613757000000001</v>
      </c>
      <c r="G67" s="14">
        <v>45.417111030000001</v>
      </c>
      <c r="H67" s="16">
        <v>2.5613757000000001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(2622/B70*100)</f>
        <v>84.390086900547161</v>
      </c>
      <c r="D70" s="15">
        <v>485</v>
      </c>
      <c r="E70" s="14">
        <v>54.316550390000003</v>
      </c>
      <c r="F70" s="16">
        <v>2.9832763299999998</v>
      </c>
      <c r="G70" s="14">
        <v>45.683449609999997</v>
      </c>
      <c r="H70" s="16">
        <v>2.9832763299999998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(3163/B72*100)</f>
        <v>82.822728462948419</v>
      </c>
      <c r="D72" s="15">
        <v>656</v>
      </c>
      <c r="E72" s="14">
        <v>40.372751700000002</v>
      </c>
      <c r="F72" s="16">
        <v>2.0025845800000002</v>
      </c>
      <c r="G72" s="14">
        <v>59.627248299999998</v>
      </c>
      <c r="H72" s="16">
        <v>2.0025845800000002</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(4002/B73*100)</f>
        <v>86.027515047291487</v>
      </c>
      <c r="D73" s="15">
        <v>650</v>
      </c>
      <c r="E73" s="14">
        <v>56.724877139999997</v>
      </c>
      <c r="F73" s="16">
        <v>2.4807454</v>
      </c>
      <c r="G73" s="14">
        <v>43.275122860000003</v>
      </c>
      <c r="H73" s="16">
        <v>2.4807454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(2554/B75*100)</f>
        <v>86.022229706972041</v>
      </c>
      <c r="D75" s="15">
        <v>415</v>
      </c>
      <c r="E75" s="14">
        <v>73.209637229999998</v>
      </c>
      <c r="F75" s="16">
        <v>1.84342764</v>
      </c>
      <c r="G75" s="14">
        <v>26.790362770000002</v>
      </c>
      <c r="H75" s="16">
        <v>1.84342764</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(5930/B76*100)</f>
        <v>83.345045678144771</v>
      </c>
      <c r="D76" s="15">
        <v>1185</v>
      </c>
      <c r="E76" s="14">
        <v>60.303093670000003</v>
      </c>
      <c r="F76" s="16">
        <v>1.9784576300000001</v>
      </c>
      <c r="G76" s="14">
        <v>39.696906329999997</v>
      </c>
      <c r="H76" s="16">
        <v>1.9784576300000001</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(2698/B77*100)</f>
        <v>85.542168674698786</v>
      </c>
      <c r="D77" s="15">
        <v>456</v>
      </c>
      <c r="E77" s="14">
        <v>58.555798420000002</v>
      </c>
      <c r="F77" s="16">
        <v>2.4291427400000001</v>
      </c>
      <c r="G77" s="14">
        <v>41.444201579999998</v>
      </c>
      <c r="H77" s="16">
        <v>2.4291427400000001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48.785529089999997</v>
      </c>
      <c r="F81" s="16">
        <v>2.4261513099999998</v>
      </c>
      <c r="G81" s="14">
        <v>51.214470910000003</v>
      </c>
      <c r="H81" s="16">
        <v>2.4261513099999998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(6051/B7*100)</f>
        <v>84.475778305179389</v>
      </c>
      <c r="D7" s="15">
        <v>1112</v>
      </c>
      <c r="E7" s="14">
        <v>77.817963079999998</v>
      </c>
      <c r="F7" s="16">
        <v>1.5082993099999999</v>
      </c>
      <c r="G7" s="14">
        <v>22.182036920000002</v>
      </c>
      <c r="H7" s="16">
        <v>1.5082993099999999</v>
      </c>
      <c r="I7" s="14" t="s">
        <v>139</v>
      </c>
      <c r="J7" s="16" t="s">
        <v>139</v>
      </c>
      <c r="K7" s="14">
        <v>0</v>
      </c>
      <c r="L7" s="16">
        <v>0</v>
      </c>
      <c r="M7" s="14">
        <v>0</v>
      </c>
      <c r="N7" s="16">
        <v>0</v>
      </c>
      <c r="O7" s="14">
        <v>0</v>
      </c>
      <c r="P7" s="16">
        <v>0</v>
      </c>
      <c r="Q7" s="14">
        <v>0</v>
      </c>
      <c r="R7" s="16">
        <v>0</v>
      </c>
    </row>
    <row r="8" spans="1:18" x14ac:dyDescent="0.25">
      <c r="A8" s="11" t="s">
        <v>140</v>
      </c>
      <c r="B8" s="13">
        <v>3443</v>
      </c>
      <c r="C8" s="14">
        <f>(2878/B8*100)</f>
        <v>83.589892535579438</v>
      </c>
      <c r="D8" s="15">
        <v>565</v>
      </c>
      <c r="E8" s="14">
        <v>79.373354599999999</v>
      </c>
      <c r="F8" s="16">
        <v>1.4684678200000001</v>
      </c>
      <c r="G8" s="14">
        <v>20.626645400000001</v>
      </c>
      <c r="H8" s="16">
        <v>1.4684678200000001</v>
      </c>
      <c r="I8" s="14" t="s">
        <v>139</v>
      </c>
      <c r="J8" s="16" t="s">
        <v>139</v>
      </c>
      <c r="K8" s="14">
        <v>0</v>
      </c>
      <c r="L8" s="16">
        <v>0</v>
      </c>
      <c r="M8" s="14">
        <v>0</v>
      </c>
      <c r="N8" s="16">
        <v>0</v>
      </c>
      <c r="O8" s="14">
        <v>0</v>
      </c>
      <c r="P8" s="16">
        <v>0</v>
      </c>
      <c r="Q8" s="14">
        <v>0</v>
      </c>
      <c r="R8" s="16">
        <v>0</v>
      </c>
    </row>
    <row r="9" spans="1:18" x14ac:dyDescent="0.25">
      <c r="A9" s="11" t="s">
        <v>141</v>
      </c>
      <c r="B9" s="13">
        <v>4752</v>
      </c>
      <c r="C9" s="14">
        <f>(4059/B9*100)</f>
        <v>85.416666666666657</v>
      </c>
      <c r="D9" s="15">
        <v>693</v>
      </c>
      <c r="E9" s="14">
        <v>82.726622570000004</v>
      </c>
      <c r="F9" s="16">
        <v>1.6800251799999999</v>
      </c>
      <c r="G9" s="14">
        <v>17.27337743</v>
      </c>
      <c r="H9" s="16">
        <v>1.6800251799999999</v>
      </c>
      <c r="I9" s="14" t="s">
        <v>139</v>
      </c>
      <c r="J9" s="16" t="s">
        <v>139</v>
      </c>
      <c r="K9" s="14">
        <v>0</v>
      </c>
      <c r="L9" s="16">
        <v>0</v>
      </c>
      <c r="M9" s="14">
        <v>0</v>
      </c>
      <c r="N9" s="16">
        <v>0</v>
      </c>
      <c r="O9" s="14">
        <v>0</v>
      </c>
      <c r="P9" s="16">
        <v>0</v>
      </c>
      <c r="Q9" s="14">
        <v>0</v>
      </c>
      <c r="R9" s="16">
        <v>0</v>
      </c>
    </row>
    <row r="10" spans="1:18" x14ac:dyDescent="0.25">
      <c r="A10" s="11" t="s">
        <v>142</v>
      </c>
      <c r="B10" s="13">
        <v>10022</v>
      </c>
      <c r="C10" s="14">
        <f>(8384/B10*100)</f>
        <v>83.655956894831377</v>
      </c>
      <c r="D10" s="15">
        <v>1638</v>
      </c>
      <c r="E10" s="14">
        <v>79.612781290000001</v>
      </c>
      <c r="F10" s="16">
        <v>1.3804244299999999</v>
      </c>
      <c r="G10" s="14">
        <v>20.387218709999999</v>
      </c>
      <c r="H10" s="16">
        <v>1.3804244299999999</v>
      </c>
      <c r="I10" s="14" t="s">
        <v>139</v>
      </c>
      <c r="J10" s="16" t="s">
        <v>139</v>
      </c>
      <c r="K10" s="14">
        <v>0</v>
      </c>
      <c r="L10" s="16">
        <v>0</v>
      </c>
      <c r="M10" s="14">
        <v>0</v>
      </c>
      <c r="N10" s="16">
        <v>0</v>
      </c>
      <c r="O10" s="14">
        <v>0</v>
      </c>
      <c r="P10" s="16">
        <v>0</v>
      </c>
      <c r="Q10" s="14">
        <v>0</v>
      </c>
      <c r="R10" s="16">
        <v>0</v>
      </c>
    </row>
    <row r="11" spans="1:18" x14ac:dyDescent="0.25">
      <c r="A11" s="11" t="s">
        <v>143</v>
      </c>
      <c r="B11" s="13">
        <v>3500</v>
      </c>
      <c r="C11" s="14">
        <f>(2983/B11*100)</f>
        <v>85.228571428571428</v>
      </c>
      <c r="D11" s="15">
        <v>517</v>
      </c>
      <c r="E11" s="14">
        <v>80.474456799999999</v>
      </c>
      <c r="F11" s="16">
        <v>1.75543917</v>
      </c>
      <c r="G11" s="14">
        <v>19.525543200000001</v>
      </c>
      <c r="H11" s="16">
        <v>1.75543917</v>
      </c>
      <c r="I11" s="14" t="s">
        <v>139</v>
      </c>
      <c r="J11" s="16" t="s">
        <v>139</v>
      </c>
      <c r="K11" s="14">
        <v>0</v>
      </c>
      <c r="L11" s="16">
        <v>0</v>
      </c>
      <c r="M11" s="14">
        <v>0</v>
      </c>
      <c r="N11" s="16">
        <v>0</v>
      </c>
      <c r="O11" s="14">
        <v>0</v>
      </c>
      <c r="P11" s="16">
        <v>0</v>
      </c>
      <c r="Q11" s="14">
        <v>0</v>
      </c>
      <c r="R11" s="16">
        <v>0</v>
      </c>
    </row>
    <row r="12" spans="1:18" x14ac:dyDescent="0.25">
      <c r="A12" s="11" t="s">
        <v>144</v>
      </c>
      <c r="B12" s="13">
        <v>3422</v>
      </c>
      <c r="C12" s="14">
        <f>(2925/B12*100)</f>
        <v>85.476329631794272</v>
      </c>
      <c r="D12" s="15">
        <v>497</v>
      </c>
      <c r="E12" s="14">
        <v>90.464166629999994</v>
      </c>
      <c r="F12" s="16">
        <v>1.1964034400000001</v>
      </c>
      <c r="G12" s="14">
        <v>9.5358333700000006</v>
      </c>
      <c r="H12" s="16">
        <v>1.1964034400000001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(3060/B13*100)</f>
        <v>84.952803997779014</v>
      </c>
      <c r="D13" s="15">
        <v>542</v>
      </c>
      <c r="E13" s="14">
        <v>84.372927180000005</v>
      </c>
      <c r="F13" s="16">
        <v>1.8310471399999999</v>
      </c>
      <c r="G13" s="14">
        <v>15.62707282</v>
      </c>
      <c r="H13" s="16">
        <v>1.8310471399999999</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(2333/B14*100)</f>
        <v>83.680057388809175</v>
      </c>
      <c r="D14" s="15">
        <v>455</v>
      </c>
      <c r="E14" s="14">
        <v>86.294499349999995</v>
      </c>
      <c r="F14" s="16">
        <v>1.46141728</v>
      </c>
      <c r="G14" s="14">
        <v>13.705500649999999</v>
      </c>
      <c r="H14" s="16">
        <v>1.46141728</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(2398/B15*100)</f>
        <v>83.758295494236819</v>
      </c>
      <c r="D15" s="15">
        <v>465</v>
      </c>
      <c r="E15" s="14">
        <v>85.855756310000004</v>
      </c>
      <c r="F15" s="16">
        <v>1.6800038900000001</v>
      </c>
      <c r="G15" s="14">
        <v>14.14424369</v>
      </c>
      <c r="H15" s="16">
        <v>1.6800038900000001</v>
      </c>
      <c r="I15" s="14" t="s">
        <v>139</v>
      </c>
      <c r="J15" s="16" t="s">
        <v>139</v>
      </c>
      <c r="K15" s="14">
        <v>0</v>
      </c>
      <c r="L15" s="16">
        <v>0</v>
      </c>
      <c r="M15" s="14">
        <v>0</v>
      </c>
      <c r="N15" s="16">
        <v>0</v>
      </c>
      <c r="O15" s="14">
        <v>0</v>
      </c>
      <c r="P15" s="16">
        <v>0</v>
      </c>
      <c r="Q15" s="14">
        <v>0</v>
      </c>
      <c r="R15" s="16">
        <v>0</v>
      </c>
    </row>
    <row r="16" spans="1:18" x14ac:dyDescent="0.25">
      <c r="A16" s="11" t="s">
        <v>148</v>
      </c>
      <c r="B16" s="13">
        <v>3111</v>
      </c>
      <c r="C16" s="14">
        <f>(2617/B16*100)</f>
        <v>84.120861459337831</v>
      </c>
      <c r="D16" s="15">
        <v>494</v>
      </c>
      <c r="E16" s="14">
        <v>84.092318539999994</v>
      </c>
      <c r="F16" s="16">
        <v>1.65471539</v>
      </c>
      <c r="G16" s="14">
        <v>15.907681459999999</v>
      </c>
      <c r="H16" s="16">
        <v>1.65471539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(2676/B17*100)</f>
        <v>83.703472005004684</v>
      </c>
      <c r="D17" s="15">
        <v>521</v>
      </c>
      <c r="E17" s="14">
        <v>75.654005870000006</v>
      </c>
      <c r="F17" s="16">
        <v>1.83330042</v>
      </c>
      <c r="G17" s="14">
        <v>24.345994130000001</v>
      </c>
      <c r="H17" s="16">
        <v>1.83330042</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(2251/B18*100)</f>
        <v>83.185513673318553</v>
      </c>
      <c r="D18" s="15">
        <v>455</v>
      </c>
      <c r="E18" s="14">
        <v>79.377257069999999</v>
      </c>
      <c r="F18" s="16">
        <v>1.77149497</v>
      </c>
      <c r="G18" s="14">
        <v>20.622742930000001</v>
      </c>
      <c r="H18" s="16">
        <v>1.77149497</v>
      </c>
      <c r="I18" s="14" t="s">
        <v>139</v>
      </c>
      <c r="J18" s="16" t="s">
        <v>139</v>
      </c>
      <c r="K18" s="14">
        <v>0</v>
      </c>
      <c r="L18" s="16">
        <v>0</v>
      </c>
      <c r="M18" s="14">
        <v>0</v>
      </c>
      <c r="N18" s="16">
        <v>0</v>
      </c>
      <c r="O18" s="14">
        <v>0</v>
      </c>
      <c r="P18" s="16">
        <v>0</v>
      </c>
      <c r="Q18" s="14">
        <v>0</v>
      </c>
      <c r="R18" s="16">
        <v>0</v>
      </c>
    </row>
    <row r="19" spans="1:18" x14ac:dyDescent="0.25">
      <c r="A19" s="11" t="s">
        <v>151</v>
      </c>
      <c r="B19" s="13">
        <v>2850</v>
      </c>
      <c r="C19" s="14">
        <f>(2422/B19*100)</f>
        <v>84.982456140350877</v>
      </c>
      <c r="D19" s="15">
        <v>428</v>
      </c>
      <c r="E19" s="14">
        <v>79.450127670000001</v>
      </c>
      <c r="F19" s="16">
        <v>2.10270343</v>
      </c>
      <c r="G19" s="14">
        <v>20.549872329999999</v>
      </c>
      <c r="H19" s="16">
        <v>2.10270343</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(1468/B20*100)</f>
        <v>84.319356691556578</v>
      </c>
      <c r="D20" s="15">
        <v>273</v>
      </c>
      <c r="E20" s="14">
        <v>90.1938818</v>
      </c>
      <c r="F20" s="16">
        <v>1.9976726899999999</v>
      </c>
      <c r="G20" s="14">
        <v>9.8061182000000002</v>
      </c>
      <c r="H20" s="16">
        <v>1.9976726899999999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(3172/B22*100)</f>
        <v>86.501227161167165</v>
      </c>
      <c r="D22" s="15">
        <v>495</v>
      </c>
      <c r="E22" s="14">
        <v>80.785106679999998</v>
      </c>
      <c r="F22" s="16">
        <v>1.9992013</v>
      </c>
      <c r="G22" s="14">
        <v>19.214893320000002</v>
      </c>
      <c r="H22" s="16">
        <v>1.9992013</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78.068807309999997</v>
      </c>
      <c r="F23" s="16">
        <v>2.2949497700000001</v>
      </c>
      <c r="G23" s="14">
        <v>21.93119269</v>
      </c>
      <c r="H23" s="16">
        <v>2.2949497700000001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(2755/B24*100)</f>
        <v>83.257781807192515</v>
      </c>
      <c r="D24" s="15">
        <v>554</v>
      </c>
      <c r="E24" s="14">
        <v>77.477400489999994</v>
      </c>
      <c r="F24" s="16">
        <v>1.69556789</v>
      </c>
      <c r="G24" s="14">
        <v>22.522599509999999</v>
      </c>
      <c r="H24" s="16">
        <v>1.69556789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79.474336589999993</v>
      </c>
      <c r="F25" s="16">
        <v>1.9921920500000001</v>
      </c>
      <c r="G25" s="14">
        <v>20.52566341</v>
      </c>
      <c r="H25" s="16">
        <v>1.9921920500000001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(2010/B26*100)</f>
        <v>83.092186854071926</v>
      </c>
      <c r="D26" s="15">
        <v>409</v>
      </c>
      <c r="E26" s="14">
        <v>86.68362922</v>
      </c>
      <c r="F26" s="16">
        <v>1.9986616699999999</v>
      </c>
      <c r="G26" s="14">
        <v>13.31637078</v>
      </c>
      <c r="H26" s="16">
        <v>1.9986616699999999</v>
      </c>
      <c r="I26" s="14" t="s">
        <v>139</v>
      </c>
      <c r="J26" s="16" t="s">
        <v>139</v>
      </c>
      <c r="K26" s="14">
        <v>0</v>
      </c>
      <c r="L26" s="16">
        <v>0</v>
      </c>
      <c r="M26" s="14">
        <v>0</v>
      </c>
      <c r="N26" s="16">
        <v>0</v>
      </c>
      <c r="O26" s="14">
        <v>0</v>
      </c>
      <c r="P26" s="16">
        <v>0</v>
      </c>
      <c r="Q26" s="14">
        <v>0</v>
      </c>
      <c r="R26" s="16">
        <v>0</v>
      </c>
    </row>
    <row r="27" spans="1:18" x14ac:dyDescent="0.25">
      <c r="A27" s="11" t="s">
        <v>160</v>
      </c>
      <c r="B27" s="13">
        <v>2683</v>
      </c>
      <c r="C27" s="14">
        <f>(2273/B27*100)</f>
        <v>84.718598583674989</v>
      </c>
      <c r="D27" s="15">
        <v>410</v>
      </c>
      <c r="E27" s="14">
        <v>83.164614360000002</v>
      </c>
      <c r="F27" s="16">
        <v>1.9059045299999999</v>
      </c>
      <c r="G27" s="14">
        <v>16.835385639999998</v>
      </c>
      <c r="H27" s="16">
        <v>1.9059045299999999</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(3283/B28*100)</f>
        <v>86.326584275571918</v>
      </c>
      <c r="D28" s="15">
        <v>520</v>
      </c>
      <c r="E28" s="14">
        <v>89.696136490000001</v>
      </c>
      <c r="F28" s="16">
        <v>1.5229651</v>
      </c>
      <c r="G28" s="14">
        <v>10.303863509999999</v>
      </c>
      <c r="H28" s="16">
        <v>1.5229651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(2267/B29*100)</f>
        <v>83.962962962962962</v>
      </c>
      <c r="D29" s="15">
        <v>433</v>
      </c>
      <c r="E29" s="14">
        <v>74.505802430000003</v>
      </c>
      <c r="F29" s="16">
        <v>1.9690456199999999</v>
      </c>
      <c r="G29" s="14">
        <v>25.494197570000001</v>
      </c>
      <c r="H29" s="16">
        <v>1.9690456199999999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(1948/B30*100)</f>
        <v>86.30926007975188</v>
      </c>
      <c r="D30" s="15">
        <v>309</v>
      </c>
      <c r="E30" s="14">
        <v>73.154228489999994</v>
      </c>
      <c r="F30" s="16">
        <v>2.9994972400000002</v>
      </c>
      <c r="G30" s="14">
        <v>26.845771509999999</v>
      </c>
      <c r="H30" s="16">
        <v>2.9994972400000002</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(2279/B31*100)</f>
        <v>84.220251293422024</v>
      </c>
      <c r="D31" s="15">
        <v>427</v>
      </c>
      <c r="E31" s="14">
        <v>82.354743780000007</v>
      </c>
      <c r="F31" s="16">
        <v>2.0619107699999999</v>
      </c>
      <c r="G31" s="14">
        <v>17.64525622</v>
      </c>
      <c r="H31" s="16">
        <v>2.0619107699999999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(3129/B33*100)</f>
        <v>85.702547247329491</v>
      </c>
      <c r="D33" s="15">
        <v>522</v>
      </c>
      <c r="E33" s="14">
        <v>77.258560299999999</v>
      </c>
      <c r="F33" s="16">
        <v>2.6920923299999999</v>
      </c>
      <c r="G33" s="14">
        <v>22.741439700000001</v>
      </c>
      <c r="H33" s="16">
        <v>2.6920923299999999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(2594/B34*100)</f>
        <v>85.469522240527183</v>
      </c>
      <c r="D34" s="15">
        <v>441</v>
      </c>
      <c r="E34" s="14">
        <v>82.451880470000006</v>
      </c>
      <c r="F34" s="16">
        <v>1.8742802199999999</v>
      </c>
      <c r="G34" s="14">
        <v>17.548119530000001</v>
      </c>
      <c r="H34" s="16">
        <v>1.8742802199999999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(2436/B35*100)</f>
        <v>83.971044467425031</v>
      </c>
      <c r="D35" s="15">
        <v>465</v>
      </c>
      <c r="E35" s="14">
        <v>82.870342840000006</v>
      </c>
      <c r="F35" s="16">
        <v>2.30715052</v>
      </c>
      <c r="G35" s="14">
        <v>17.129657160000001</v>
      </c>
      <c r="H35" s="16">
        <v>2.30715052</v>
      </c>
      <c r="I35" s="14" t="s">
        <v>139</v>
      </c>
      <c r="J35" s="16" t="s">
        <v>139</v>
      </c>
      <c r="K35" s="14">
        <v>0</v>
      </c>
      <c r="L35" s="16">
        <v>0</v>
      </c>
      <c r="M35" s="14">
        <v>0</v>
      </c>
      <c r="N35" s="16">
        <v>0</v>
      </c>
      <c r="O35" s="14">
        <v>0</v>
      </c>
      <c r="P35" s="16">
        <v>0</v>
      </c>
      <c r="Q35" s="14">
        <v>0</v>
      </c>
      <c r="R35" s="16">
        <v>0</v>
      </c>
    </row>
    <row r="36" spans="1:18" x14ac:dyDescent="0.25">
      <c r="A36" s="11" t="s">
        <v>169</v>
      </c>
      <c r="B36" s="13">
        <v>3404</v>
      </c>
      <c r="C36" s="14">
        <f>(2906/B36*100)</f>
        <v>85.370152761457106</v>
      </c>
      <c r="D36" s="15">
        <v>498</v>
      </c>
      <c r="E36" s="14">
        <v>84.632742489999998</v>
      </c>
      <c r="F36" s="16">
        <v>1.6279827</v>
      </c>
      <c r="G36" s="14">
        <v>15.36725751</v>
      </c>
      <c r="H36" s="16">
        <v>1.6279827</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(2333/B37*100)</f>
        <v>85.426583668985728</v>
      </c>
      <c r="D37" s="15">
        <v>398</v>
      </c>
      <c r="E37" s="14">
        <v>86.04012625</v>
      </c>
      <c r="F37" s="16">
        <v>1.7368400399999999</v>
      </c>
      <c r="G37" s="14">
        <v>13.95987375</v>
      </c>
      <c r="H37" s="16">
        <v>1.7368400399999999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(2422/B39*100)</f>
        <v>82.437031994554118</v>
      </c>
      <c r="D39" s="15">
        <v>516</v>
      </c>
      <c r="E39" s="14">
        <v>84.908683879999998</v>
      </c>
      <c r="F39" s="16">
        <v>1.4377314000000001</v>
      </c>
      <c r="G39" s="14">
        <v>15.09131612</v>
      </c>
      <c r="H39" s="16">
        <v>1.4377314000000001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(5778/B40*100)</f>
        <v>83.472984686506791</v>
      </c>
      <c r="D40" s="15">
        <v>1144</v>
      </c>
      <c r="E40" s="14">
        <v>82.71926698</v>
      </c>
      <c r="F40" s="16">
        <v>1.7182057799999999</v>
      </c>
      <c r="G40" s="14">
        <v>17.28073302</v>
      </c>
      <c r="H40" s="16">
        <v>1.7182057799999999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(2397/B41*100)</f>
        <v>83.987386124737213</v>
      </c>
      <c r="D41" s="15">
        <v>457</v>
      </c>
      <c r="E41" s="14">
        <v>76.208314580000007</v>
      </c>
      <c r="F41" s="16">
        <v>1.82593797</v>
      </c>
      <c r="G41" s="14">
        <v>23.79168542</v>
      </c>
      <c r="H41" s="16">
        <v>1.82593797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84.4120956548538</v>
      </c>
      <c r="D42" s="15">
        <f>IF(COUNT(D7:D41) &gt; 0, AVERAGE(D7:D41), "—")</f>
        <v>564.375</v>
      </c>
      <c r="E42" s="14">
        <f>IF(COUNT(E7:E41) &gt; 0, AVERAGE(E7:E41), "—")</f>
        <v>81.819213824687509</v>
      </c>
      <c r="F42" s="16">
        <f>IF(COUNT(F7:F41) &gt; 0, SQRT(SUMSQ(F7:F41)/(COUNT(F7:F41)*COUNT(F7:F41)) ), "—")</f>
        <v>0.33206801888396564</v>
      </c>
      <c r="G42" s="14">
        <f>IF(COUNT(G7:G41) &gt; 0, AVERAGE(G7:G41), "—")</f>
        <v>18.180786175312498</v>
      </c>
      <c r="H42" s="16">
        <f>IF(COUNT(H7:H41) &gt; 0, SQRT(SUMSQ(H7:H41)/(COUNT(H7:H41)*COUNT(H7:H41)) ), "—")</f>
        <v>0.33206801888396564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(10858/B46*100)</f>
        <v>89.936221320301499</v>
      </c>
      <c r="D46" s="15">
        <v>1215</v>
      </c>
      <c r="E46" s="14">
        <v>82.424911760000001</v>
      </c>
      <c r="F46" s="16">
        <v>1.3129768900000001</v>
      </c>
      <c r="G46" s="14">
        <v>17.575088239999999</v>
      </c>
      <c r="H46" s="16">
        <v>1.3129768900000001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(2394/B47*100)</f>
        <v>84.803400637619546</v>
      </c>
      <c r="D47" s="15">
        <v>429</v>
      </c>
      <c r="E47" s="14">
        <v>85.5611313</v>
      </c>
      <c r="F47" s="16">
        <v>1.76953077</v>
      </c>
      <c r="G47" s="14">
        <v>14.4388687</v>
      </c>
      <c r="H47" s="16">
        <v>1.76953077</v>
      </c>
      <c r="I47" s="14" t="s">
        <v>139</v>
      </c>
      <c r="J47" s="16" t="s">
        <v>139</v>
      </c>
      <c r="K47" s="14">
        <v>0</v>
      </c>
      <c r="L47" s="16">
        <v>0</v>
      </c>
      <c r="M47" s="14">
        <v>0</v>
      </c>
      <c r="N47" s="16">
        <v>0</v>
      </c>
      <c r="O47" s="14">
        <v>0</v>
      </c>
      <c r="P47" s="16">
        <v>0</v>
      </c>
      <c r="Q47" s="14">
        <v>0</v>
      </c>
      <c r="R47" s="16">
        <v>0</v>
      </c>
    </row>
    <row r="48" spans="1:18" x14ac:dyDescent="0.25">
      <c r="A48" s="11" t="s">
        <v>181</v>
      </c>
      <c r="B48" s="13">
        <v>4682</v>
      </c>
      <c r="C48" s="14">
        <f>(3914/B48*100)</f>
        <v>83.596753524134982</v>
      </c>
      <c r="D48" s="15">
        <v>768</v>
      </c>
      <c r="E48" s="14">
        <v>72.995451419999995</v>
      </c>
      <c r="F48" s="16">
        <v>2.14910903</v>
      </c>
      <c r="G48" s="14">
        <v>27.004548580000002</v>
      </c>
      <c r="H48" s="16">
        <v>2.14910903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(5269/B50*100)</f>
        <v>85.563494641117245</v>
      </c>
      <c r="D50" s="15">
        <v>889</v>
      </c>
      <c r="E50" s="14">
        <v>86.171509369999995</v>
      </c>
      <c r="F50" s="16">
        <v>1.5222644299999999</v>
      </c>
      <c r="G50" s="14">
        <v>13.828490629999999</v>
      </c>
      <c r="H50" s="16">
        <v>1.5222644299999999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(3057/B51*100)</f>
        <v>87.492844876931883</v>
      </c>
      <c r="D51" s="15">
        <v>437</v>
      </c>
      <c r="E51" s="14">
        <v>85.286968239999993</v>
      </c>
      <c r="F51" s="16">
        <v>2.1053827599999999</v>
      </c>
      <c r="G51" s="14">
        <v>14.71303176</v>
      </c>
      <c r="H51" s="16">
        <v>2.1053827599999999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(2516/B52*100)</f>
        <v>83.504812479256557</v>
      </c>
      <c r="D52" s="15">
        <v>497</v>
      </c>
      <c r="E52" s="14">
        <v>85.817299320000004</v>
      </c>
      <c r="F52" s="16">
        <v>1.38692463</v>
      </c>
      <c r="G52" s="14">
        <v>14.18270068</v>
      </c>
      <c r="H52" s="16">
        <v>1.38692463</v>
      </c>
      <c r="I52" s="14" t="s">
        <v>139</v>
      </c>
      <c r="J52" s="16" t="s">
        <v>139</v>
      </c>
      <c r="K52" s="14">
        <v>0</v>
      </c>
      <c r="L52" s="16">
        <v>0</v>
      </c>
      <c r="M52" s="14">
        <v>0</v>
      </c>
      <c r="N52" s="16">
        <v>0</v>
      </c>
      <c r="O52" s="14">
        <v>0</v>
      </c>
      <c r="P52" s="16">
        <v>0</v>
      </c>
      <c r="Q52" s="14">
        <v>0</v>
      </c>
      <c r="R52" s="16">
        <v>0</v>
      </c>
    </row>
    <row r="53" spans="1:18" x14ac:dyDescent="0.25">
      <c r="A53" s="11" t="s">
        <v>186</v>
      </c>
      <c r="B53" s="13">
        <v>2760</v>
      </c>
      <c r="C53" s="14">
        <f>(2355/B53*100)</f>
        <v>85.326086956521735</v>
      </c>
      <c r="D53" s="15">
        <v>405</v>
      </c>
      <c r="E53" s="14">
        <v>77.087926179999997</v>
      </c>
      <c r="F53" s="16">
        <v>2.1316375700000001</v>
      </c>
      <c r="G53" s="14">
        <v>22.91207382</v>
      </c>
      <c r="H53" s="16">
        <v>2.1316375700000001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(2213/B56*100)</f>
        <v>82.728971962616825</v>
      </c>
      <c r="D56" s="15">
        <v>462</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(2681/B61*100)</f>
        <v>83.75507653858169</v>
      </c>
      <c r="D61" s="15">
        <v>520</v>
      </c>
      <c r="E61" s="14">
        <v>89.032498399999994</v>
      </c>
      <c r="F61" s="16">
        <v>1.65510501</v>
      </c>
      <c r="G61" s="14">
        <v>10.9675016</v>
      </c>
      <c r="H61" s="16">
        <v>1.65510501</v>
      </c>
      <c r="I61" s="14" t="s">
        <v>139</v>
      </c>
      <c r="J61" s="16" t="s">
        <v>139</v>
      </c>
      <c r="K61" s="14">
        <v>0</v>
      </c>
      <c r="L61" s="16">
        <v>0</v>
      </c>
      <c r="M61" s="14">
        <v>0</v>
      </c>
      <c r="N61" s="16">
        <v>0</v>
      </c>
      <c r="O61" s="14">
        <v>0</v>
      </c>
      <c r="P61" s="16">
        <v>0</v>
      </c>
      <c r="Q61" s="14">
        <v>0</v>
      </c>
      <c r="R61" s="16">
        <v>0</v>
      </c>
    </row>
    <row r="62" spans="1:18" x14ac:dyDescent="0.25">
      <c r="A62" s="11" t="s">
        <v>195</v>
      </c>
      <c r="B62" s="13">
        <v>2230</v>
      </c>
      <c r="C62" s="14">
        <f>(1886/B62*100)</f>
        <v>84.573991031390136</v>
      </c>
      <c r="D62" s="15">
        <v>344</v>
      </c>
      <c r="E62" s="14">
        <v>76.12170802</v>
      </c>
      <c r="F62" s="16">
        <v>2.2462091800000001</v>
      </c>
      <c r="G62" s="14">
        <v>23.87829198</v>
      </c>
      <c r="H62" s="16">
        <v>2.2462091800000001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89.749717849999996</v>
      </c>
      <c r="F66" s="16">
        <v>1.22210814</v>
      </c>
      <c r="G66" s="14">
        <v>10.25028215</v>
      </c>
      <c r="H66" s="16">
        <v>1.22210814</v>
      </c>
      <c r="I66" s="14" t="s">
        <v>139</v>
      </c>
      <c r="J66" s="16" t="s">
        <v>139</v>
      </c>
      <c r="K66" s="14">
        <v>0</v>
      </c>
      <c r="L66" s="16">
        <v>0</v>
      </c>
      <c r="M66" s="14">
        <v>0</v>
      </c>
      <c r="N66" s="16">
        <v>0</v>
      </c>
      <c r="O66" s="14">
        <v>0</v>
      </c>
      <c r="P66" s="16">
        <v>0</v>
      </c>
      <c r="Q66" s="14">
        <v>0</v>
      </c>
      <c r="R66" s="16">
        <v>0</v>
      </c>
    </row>
    <row r="67" spans="1:18" x14ac:dyDescent="0.25">
      <c r="A67" s="11" t="s">
        <v>200</v>
      </c>
      <c r="B67" s="13">
        <v>3460</v>
      </c>
      <c r="C67" s="14">
        <f>(3054/B67*100)</f>
        <v>88.265895953757223</v>
      </c>
      <c r="D67" s="15">
        <v>406</v>
      </c>
      <c r="E67" s="14">
        <v>86.454150510000005</v>
      </c>
      <c r="F67" s="16">
        <v>1.71814647</v>
      </c>
      <c r="G67" s="14">
        <v>13.54584949</v>
      </c>
      <c r="H67" s="16">
        <v>1.71814647</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(2622/B70*100)</f>
        <v>84.390086900547161</v>
      </c>
      <c r="D70" s="15">
        <v>485</v>
      </c>
      <c r="E70" s="14">
        <v>86.932074659999998</v>
      </c>
      <c r="F70" s="16">
        <v>1.64178533</v>
      </c>
      <c r="G70" s="14">
        <v>13.06792534</v>
      </c>
      <c r="H70" s="16">
        <v>1.64178533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(3163/B72*100)</f>
        <v>82.822728462948419</v>
      </c>
      <c r="D72" s="15">
        <v>656</v>
      </c>
      <c r="E72" s="14">
        <v>81.540717630000003</v>
      </c>
      <c r="F72" s="16">
        <v>1.48643276</v>
      </c>
      <c r="G72" s="14">
        <v>18.45928237</v>
      </c>
      <c r="H72" s="16">
        <v>1.48643276</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(4002/B73*100)</f>
        <v>86.027515047291487</v>
      </c>
      <c r="D73" s="15">
        <v>650</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(2554/B75*100)</f>
        <v>86.022229706972041</v>
      </c>
      <c r="D75" s="15">
        <v>415</v>
      </c>
      <c r="E75" s="14">
        <v>85.266579899999996</v>
      </c>
      <c r="F75" s="16">
        <v>1.78725446</v>
      </c>
      <c r="G75" s="14">
        <v>14.7334201</v>
      </c>
      <c r="H75" s="16">
        <v>1.78725446</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(5930/B76*100)</f>
        <v>83.345045678144771</v>
      </c>
      <c r="D76" s="15">
        <v>1185</v>
      </c>
      <c r="E76" s="14">
        <v>85.436306299999998</v>
      </c>
      <c r="F76" s="16">
        <v>1.17271448</v>
      </c>
      <c r="G76" s="14">
        <v>14.5636937</v>
      </c>
      <c r="H76" s="16">
        <v>1.17271448</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(2698/B77*100)</f>
        <v>85.542168674698786</v>
      </c>
      <c r="D77" s="15">
        <v>456</v>
      </c>
      <c r="E77" s="14">
        <v>85.546142040000007</v>
      </c>
      <c r="F77" s="16">
        <v>1.9007253399999999</v>
      </c>
      <c r="G77" s="14">
        <v>14.453857960000001</v>
      </c>
      <c r="H77" s="16">
        <v>1.9007253399999999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72.93049019</v>
      </c>
      <c r="F81" s="16">
        <v>1.89447729</v>
      </c>
      <c r="G81" s="14">
        <v>27.06950981</v>
      </c>
      <c r="H81" s="16">
        <v>1.89447729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(6051/B7*100)</f>
        <v>84.475778305179389</v>
      </c>
      <c r="D7" s="15">
        <v>1112</v>
      </c>
      <c r="E7" s="14">
        <v>19.2856922</v>
      </c>
      <c r="F7" s="16">
        <v>1.2954358500000001</v>
      </c>
      <c r="G7" s="14">
        <v>80.7143078</v>
      </c>
      <c r="H7" s="16">
        <v>1.2954358500000001</v>
      </c>
      <c r="I7" s="14" t="s">
        <v>139</v>
      </c>
      <c r="J7" s="16" t="s">
        <v>139</v>
      </c>
      <c r="K7" s="14">
        <v>0</v>
      </c>
      <c r="L7" s="16">
        <v>0</v>
      </c>
      <c r="M7" s="14">
        <v>0</v>
      </c>
      <c r="N7" s="16">
        <v>0</v>
      </c>
      <c r="O7" s="14">
        <v>0</v>
      </c>
      <c r="P7" s="16">
        <v>0</v>
      </c>
      <c r="Q7" s="14">
        <v>0</v>
      </c>
      <c r="R7" s="16">
        <v>0</v>
      </c>
    </row>
    <row r="8" spans="1:18" x14ac:dyDescent="0.25">
      <c r="A8" s="11" t="s">
        <v>140</v>
      </c>
      <c r="B8" s="13">
        <v>3443</v>
      </c>
      <c r="C8" s="14">
        <f>(2878/B8*100)</f>
        <v>83.589892535579438</v>
      </c>
      <c r="D8" s="15">
        <v>565</v>
      </c>
      <c r="E8" s="14">
        <v>26.76455992</v>
      </c>
      <c r="F8" s="16">
        <v>2.4251012799999998</v>
      </c>
      <c r="G8" s="14">
        <v>73.235440080000004</v>
      </c>
      <c r="H8" s="16">
        <v>2.4251012799999998</v>
      </c>
      <c r="I8" s="14" t="s">
        <v>139</v>
      </c>
      <c r="J8" s="16" t="s">
        <v>139</v>
      </c>
      <c r="K8" s="14">
        <v>0</v>
      </c>
      <c r="L8" s="16">
        <v>0</v>
      </c>
      <c r="M8" s="14">
        <v>0</v>
      </c>
      <c r="N8" s="16">
        <v>0</v>
      </c>
      <c r="O8" s="14">
        <v>0</v>
      </c>
      <c r="P8" s="16">
        <v>0</v>
      </c>
      <c r="Q8" s="14">
        <v>0</v>
      </c>
      <c r="R8" s="16">
        <v>0</v>
      </c>
    </row>
    <row r="9" spans="1:18" x14ac:dyDescent="0.25">
      <c r="A9" s="11" t="s">
        <v>141</v>
      </c>
      <c r="B9" s="13">
        <v>4752</v>
      </c>
      <c r="C9" s="14">
        <f>(4059/B9*100)</f>
        <v>85.416666666666657</v>
      </c>
      <c r="D9" s="15">
        <v>693</v>
      </c>
      <c r="E9" s="14">
        <v>26.827386560000001</v>
      </c>
      <c r="F9" s="16">
        <v>1.8169142300000001</v>
      </c>
      <c r="G9" s="14">
        <v>73.172613440000006</v>
      </c>
      <c r="H9" s="16">
        <v>1.8169142300000001</v>
      </c>
      <c r="I9" s="14" t="s">
        <v>139</v>
      </c>
      <c r="J9" s="16" t="s">
        <v>139</v>
      </c>
      <c r="K9" s="14">
        <v>0</v>
      </c>
      <c r="L9" s="16">
        <v>0</v>
      </c>
      <c r="M9" s="14">
        <v>0</v>
      </c>
      <c r="N9" s="16">
        <v>0</v>
      </c>
      <c r="O9" s="14">
        <v>0</v>
      </c>
      <c r="P9" s="16">
        <v>0</v>
      </c>
      <c r="Q9" s="14">
        <v>0</v>
      </c>
      <c r="R9" s="16">
        <v>0</v>
      </c>
    </row>
    <row r="10" spans="1:18" x14ac:dyDescent="0.25">
      <c r="A10" s="11" t="s">
        <v>142</v>
      </c>
      <c r="B10" s="13">
        <v>10022</v>
      </c>
      <c r="C10" s="14">
        <f>(8384/B10*100)</f>
        <v>83.655956894831377</v>
      </c>
      <c r="D10" s="15">
        <v>1638</v>
      </c>
      <c r="E10" s="14">
        <v>17.975560819999998</v>
      </c>
      <c r="F10" s="16">
        <v>1.2908871</v>
      </c>
      <c r="G10" s="14">
        <v>82.024439180000002</v>
      </c>
      <c r="H10" s="16">
        <v>1.2908871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(2983/B11*100)</f>
        <v>85.228571428571428</v>
      </c>
      <c r="D11" s="15">
        <v>517</v>
      </c>
      <c r="E11" s="14">
        <v>33.406934229999997</v>
      </c>
      <c r="F11" s="16">
        <v>2.7471082899999999</v>
      </c>
      <c r="G11" s="14">
        <v>66.593065769999995</v>
      </c>
      <c r="H11" s="16">
        <v>2.7471082899999999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(2925/B12*100)</f>
        <v>85.476329631794272</v>
      </c>
      <c r="D12" s="15">
        <v>497</v>
      </c>
      <c r="E12" s="14">
        <v>17.676494160000001</v>
      </c>
      <c r="F12" s="16">
        <v>2.0124780699999998</v>
      </c>
      <c r="G12" s="14">
        <v>82.323505839999996</v>
      </c>
      <c r="H12" s="16">
        <v>2.0124780699999998</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(3060/B13*100)</f>
        <v>84.952803997779014</v>
      </c>
      <c r="D13" s="15">
        <v>542</v>
      </c>
      <c r="E13" s="14">
        <v>22.760160389999999</v>
      </c>
      <c r="F13" s="16">
        <v>2.3166140999999998</v>
      </c>
      <c r="G13" s="14">
        <v>77.239839610000004</v>
      </c>
      <c r="H13" s="16">
        <v>2.3166140999999998</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(2333/B14*100)</f>
        <v>83.680057388809175</v>
      </c>
      <c r="D14" s="15">
        <v>455</v>
      </c>
      <c r="E14" s="14">
        <v>25.788213219999999</v>
      </c>
      <c r="F14" s="16">
        <v>2.1490581</v>
      </c>
      <c r="G14" s="14">
        <v>74.211786779999997</v>
      </c>
      <c r="H14" s="16">
        <v>2.1490581</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(2398/B15*100)</f>
        <v>83.758295494236819</v>
      </c>
      <c r="D15" s="15">
        <v>465</v>
      </c>
      <c r="E15" s="14">
        <v>16.697727539999999</v>
      </c>
      <c r="F15" s="16">
        <v>1.78202113</v>
      </c>
      <c r="G15" s="14">
        <v>83.302272459999998</v>
      </c>
      <c r="H15" s="16">
        <v>1.78202113</v>
      </c>
      <c r="I15" s="14" t="s">
        <v>139</v>
      </c>
      <c r="J15" s="16" t="s">
        <v>139</v>
      </c>
      <c r="K15" s="14">
        <v>0</v>
      </c>
      <c r="L15" s="16">
        <v>0</v>
      </c>
      <c r="M15" s="14">
        <v>0</v>
      </c>
      <c r="N15" s="16">
        <v>0</v>
      </c>
      <c r="O15" s="14">
        <v>0</v>
      </c>
      <c r="P15" s="16">
        <v>0</v>
      </c>
      <c r="Q15" s="14">
        <v>0</v>
      </c>
      <c r="R15" s="16">
        <v>0</v>
      </c>
    </row>
    <row r="16" spans="1:18" x14ac:dyDescent="0.25">
      <c r="A16" s="11" t="s">
        <v>148</v>
      </c>
      <c r="B16" s="13">
        <v>3111</v>
      </c>
      <c r="C16" s="14">
        <f>(2617/B16*100)</f>
        <v>84.120861459337831</v>
      </c>
      <c r="D16" s="15">
        <v>494</v>
      </c>
      <c r="E16" s="14">
        <v>34.627927620000001</v>
      </c>
      <c r="F16" s="16">
        <v>2.0771177299999999</v>
      </c>
      <c r="G16" s="14">
        <v>65.372072380000006</v>
      </c>
      <c r="H16" s="16">
        <v>2.0771177299999999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(2676/B17*100)</f>
        <v>83.703472005004684</v>
      </c>
      <c r="D17" s="15">
        <v>521</v>
      </c>
      <c r="E17" s="14">
        <v>24.05215054</v>
      </c>
      <c r="F17" s="16">
        <v>2.0348400299999998</v>
      </c>
      <c r="G17" s="14">
        <v>75.94784946</v>
      </c>
      <c r="H17" s="16">
        <v>2.0348400299999998</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(2251/B18*100)</f>
        <v>83.185513673318553</v>
      </c>
      <c r="D18" s="15">
        <v>455</v>
      </c>
      <c r="E18" s="14">
        <v>32.607790979999997</v>
      </c>
      <c r="F18" s="16">
        <v>2.2222471399999999</v>
      </c>
      <c r="G18" s="14">
        <v>67.392209019999996</v>
      </c>
      <c r="H18" s="16">
        <v>2.2222471399999999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(2422/B19*100)</f>
        <v>84.982456140350877</v>
      </c>
      <c r="D19" s="15">
        <v>428</v>
      </c>
      <c r="E19" s="14">
        <v>27.87731453</v>
      </c>
      <c r="F19" s="16">
        <v>2.6077154400000002</v>
      </c>
      <c r="G19" s="14">
        <v>72.122685469999993</v>
      </c>
      <c r="H19" s="16">
        <v>2.6077154400000002</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(1468/B20*100)</f>
        <v>84.319356691556578</v>
      </c>
      <c r="D20" s="15">
        <v>273</v>
      </c>
      <c r="E20" s="14">
        <v>27.115776279999999</v>
      </c>
      <c r="F20" s="16">
        <v>2.8261744000000002</v>
      </c>
      <c r="G20" s="14">
        <v>72.884223719999994</v>
      </c>
      <c r="H20" s="16">
        <v>2.8261744000000002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(3172/B22*100)</f>
        <v>86.501227161167165</v>
      </c>
      <c r="D22" s="15">
        <v>495</v>
      </c>
      <c r="E22" s="14">
        <v>33.985657959999998</v>
      </c>
      <c r="F22" s="16">
        <v>2.55145131</v>
      </c>
      <c r="G22" s="14">
        <v>66.014342040000002</v>
      </c>
      <c r="H22" s="16">
        <v>2.55145131</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36.99258785</v>
      </c>
      <c r="F23" s="16">
        <v>2.5545392499999999</v>
      </c>
      <c r="G23" s="14">
        <v>63.00741215</v>
      </c>
      <c r="H23" s="16">
        <v>2.5545392499999999</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(2755/B24*100)</f>
        <v>83.257781807192515</v>
      </c>
      <c r="D24" s="15">
        <v>554</v>
      </c>
      <c r="E24" s="14">
        <v>6.7812891999999998</v>
      </c>
      <c r="F24" s="16">
        <v>1.30111391</v>
      </c>
      <c r="G24" s="14">
        <v>93.218710799999997</v>
      </c>
      <c r="H24" s="16">
        <v>1.30111391</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14.95789358</v>
      </c>
      <c r="F25" s="16">
        <v>1.4811377299999999</v>
      </c>
      <c r="G25" s="14">
        <v>85.042106419999996</v>
      </c>
      <c r="H25" s="16">
        <v>1.4811377299999999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(2010/B26*100)</f>
        <v>83.092186854071926</v>
      </c>
      <c r="D26" s="15">
        <v>409</v>
      </c>
      <c r="E26" s="14">
        <v>34.920586819999997</v>
      </c>
      <c r="F26" s="16">
        <v>2.4933728199999998</v>
      </c>
      <c r="G26" s="14">
        <v>65.079413180000003</v>
      </c>
      <c r="H26" s="16">
        <v>2.4933728199999998</v>
      </c>
      <c r="I26" s="14" t="s">
        <v>139</v>
      </c>
      <c r="J26" s="16" t="s">
        <v>139</v>
      </c>
      <c r="K26" s="14">
        <v>0</v>
      </c>
      <c r="L26" s="16">
        <v>0</v>
      </c>
      <c r="M26" s="14">
        <v>0</v>
      </c>
      <c r="N26" s="16">
        <v>0</v>
      </c>
      <c r="O26" s="14">
        <v>0</v>
      </c>
      <c r="P26" s="16">
        <v>0</v>
      </c>
      <c r="Q26" s="14">
        <v>0</v>
      </c>
      <c r="R26" s="16">
        <v>0</v>
      </c>
    </row>
    <row r="27" spans="1:18" x14ac:dyDescent="0.25">
      <c r="A27" s="11" t="s">
        <v>160</v>
      </c>
      <c r="B27" s="13">
        <v>2683</v>
      </c>
      <c r="C27" s="14">
        <f>(2273/B27*100)</f>
        <v>84.718598583674989</v>
      </c>
      <c r="D27" s="15">
        <v>410</v>
      </c>
      <c r="E27" s="14">
        <v>27.977750310000001</v>
      </c>
      <c r="F27" s="16">
        <v>2.1649882300000001</v>
      </c>
      <c r="G27" s="14">
        <v>72.022249689999995</v>
      </c>
      <c r="H27" s="16">
        <v>2.1649882300000001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(3283/B28*100)</f>
        <v>86.326584275571918</v>
      </c>
      <c r="D28" s="15">
        <v>520</v>
      </c>
      <c r="E28" s="14">
        <v>36.384595279999999</v>
      </c>
      <c r="F28" s="16">
        <v>2.4498860100000002</v>
      </c>
      <c r="G28" s="14">
        <v>63.615404720000001</v>
      </c>
      <c r="H28" s="16">
        <v>2.4498860100000002</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(2267/B29*100)</f>
        <v>83.962962962962962</v>
      </c>
      <c r="D29" s="15">
        <v>433</v>
      </c>
      <c r="E29" s="14">
        <v>26.118960770000001</v>
      </c>
      <c r="F29" s="16">
        <v>1.73767976</v>
      </c>
      <c r="G29" s="14">
        <v>73.881039229999999</v>
      </c>
      <c r="H29" s="16">
        <v>1.73767976</v>
      </c>
      <c r="I29" s="14" t="s">
        <v>139</v>
      </c>
      <c r="J29" s="16" t="s">
        <v>139</v>
      </c>
      <c r="K29" s="14">
        <v>0</v>
      </c>
      <c r="L29" s="16">
        <v>0</v>
      </c>
      <c r="M29" s="14">
        <v>0</v>
      </c>
      <c r="N29" s="16">
        <v>0</v>
      </c>
      <c r="O29" s="14">
        <v>0</v>
      </c>
      <c r="P29" s="16">
        <v>0</v>
      </c>
      <c r="Q29" s="14">
        <v>0</v>
      </c>
      <c r="R29" s="16">
        <v>0</v>
      </c>
    </row>
    <row r="30" spans="1:18" x14ac:dyDescent="0.25">
      <c r="A30" s="11" t="s">
        <v>163</v>
      </c>
      <c r="B30" s="13">
        <v>2257</v>
      </c>
      <c r="C30" s="14">
        <f>(1948/B30*100)</f>
        <v>86.30926007975188</v>
      </c>
      <c r="D30" s="15">
        <v>309</v>
      </c>
      <c r="E30" s="14">
        <v>20.322789589999999</v>
      </c>
      <c r="F30" s="16">
        <v>2.1028277800000001</v>
      </c>
      <c r="G30" s="14">
        <v>79.677210410000001</v>
      </c>
      <c r="H30" s="16">
        <v>2.1028277800000001</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(2279/B31*100)</f>
        <v>84.220251293422024</v>
      </c>
      <c r="D31" s="15">
        <v>427</v>
      </c>
      <c r="E31" s="14">
        <v>29.501196270000001</v>
      </c>
      <c r="F31" s="16">
        <v>2.4685598</v>
      </c>
      <c r="G31" s="14">
        <v>70.498803730000006</v>
      </c>
      <c r="H31" s="16">
        <v>2.4685598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(3129/B33*100)</f>
        <v>85.702547247329491</v>
      </c>
      <c r="D33" s="15">
        <v>522</v>
      </c>
      <c r="E33" s="14">
        <v>23.389363419999999</v>
      </c>
      <c r="F33" s="16">
        <v>2.2710701700000002</v>
      </c>
      <c r="G33" s="14">
        <v>76.610636580000005</v>
      </c>
      <c r="H33" s="16">
        <v>2.2710701700000002</v>
      </c>
      <c r="I33" s="14" t="s">
        <v>139</v>
      </c>
      <c r="J33" s="16" t="s">
        <v>139</v>
      </c>
      <c r="K33" s="14">
        <v>0</v>
      </c>
      <c r="L33" s="16">
        <v>0</v>
      </c>
      <c r="M33" s="14">
        <v>0</v>
      </c>
      <c r="N33" s="16">
        <v>0</v>
      </c>
      <c r="O33" s="14">
        <v>0</v>
      </c>
      <c r="P33" s="16">
        <v>0</v>
      </c>
      <c r="Q33" s="14">
        <v>0</v>
      </c>
      <c r="R33" s="16">
        <v>0</v>
      </c>
    </row>
    <row r="34" spans="1:18" x14ac:dyDescent="0.25">
      <c r="A34" s="11" t="s">
        <v>167</v>
      </c>
      <c r="B34" s="13">
        <v>3035</v>
      </c>
      <c r="C34" s="14">
        <f>(2594/B34*100)</f>
        <v>85.469522240527183</v>
      </c>
      <c r="D34" s="15">
        <v>441</v>
      </c>
      <c r="E34" s="14">
        <v>38.196754599999998</v>
      </c>
      <c r="F34" s="16">
        <v>2.7058934899999998</v>
      </c>
      <c r="G34" s="14">
        <v>61.803245400000002</v>
      </c>
      <c r="H34" s="16">
        <v>2.7058934899999998</v>
      </c>
      <c r="I34" s="14" t="s">
        <v>139</v>
      </c>
      <c r="J34" s="16" t="s">
        <v>139</v>
      </c>
      <c r="K34" s="14">
        <v>0</v>
      </c>
      <c r="L34" s="16">
        <v>0</v>
      </c>
      <c r="M34" s="14">
        <v>0</v>
      </c>
      <c r="N34" s="16">
        <v>0</v>
      </c>
      <c r="O34" s="14">
        <v>0</v>
      </c>
      <c r="P34" s="16">
        <v>0</v>
      </c>
      <c r="Q34" s="14">
        <v>0</v>
      </c>
      <c r="R34" s="16">
        <v>0</v>
      </c>
    </row>
    <row r="35" spans="1:18" x14ac:dyDescent="0.25">
      <c r="A35" s="11" t="s">
        <v>168</v>
      </c>
      <c r="B35" s="13">
        <v>2901</v>
      </c>
      <c r="C35" s="14">
        <f>(2436/B35*100)</f>
        <v>83.971044467425031</v>
      </c>
      <c r="D35" s="15">
        <v>465</v>
      </c>
      <c r="E35" s="14">
        <v>22.310952709999999</v>
      </c>
      <c r="F35" s="16">
        <v>2.1767945200000001</v>
      </c>
      <c r="G35" s="14">
        <v>77.689047290000005</v>
      </c>
      <c r="H35" s="16">
        <v>2.1767945200000001</v>
      </c>
      <c r="I35" s="14" t="s">
        <v>139</v>
      </c>
      <c r="J35" s="16" t="s">
        <v>139</v>
      </c>
      <c r="K35" s="14">
        <v>0</v>
      </c>
      <c r="L35" s="16">
        <v>0</v>
      </c>
      <c r="M35" s="14">
        <v>0</v>
      </c>
      <c r="N35" s="16">
        <v>0</v>
      </c>
      <c r="O35" s="14">
        <v>0</v>
      </c>
      <c r="P35" s="16">
        <v>0</v>
      </c>
      <c r="Q35" s="14">
        <v>0</v>
      </c>
      <c r="R35" s="16">
        <v>0</v>
      </c>
    </row>
    <row r="36" spans="1:18" x14ac:dyDescent="0.25">
      <c r="A36" s="11" t="s">
        <v>169</v>
      </c>
      <c r="B36" s="13">
        <v>3404</v>
      </c>
      <c r="C36" s="14">
        <f>(2906/B36*100)</f>
        <v>85.370152761457106</v>
      </c>
      <c r="D36" s="15">
        <v>498</v>
      </c>
      <c r="E36" s="14">
        <v>26.9461431</v>
      </c>
      <c r="F36" s="16">
        <v>2.1296042399999999</v>
      </c>
      <c r="G36" s="14">
        <v>73.0538569</v>
      </c>
      <c r="H36" s="16">
        <v>2.1296042399999999</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(2333/B37*100)</f>
        <v>85.426583668985728</v>
      </c>
      <c r="D37" s="15">
        <v>398</v>
      </c>
      <c r="E37" s="14">
        <v>20.27296424</v>
      </c>
      <c r="F37" s="16">
        <v>2.4551047100000001</v>
      </c>
      <c r="G37" s="14">
        <v>79.727035760000007</v>
      </c>
      <c r="H37" s="16">
        <v>2.4551047100000001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(2422/B39*100)</f>
        <v>82.437031994554118</v>
      </c>
      <c r="D39" s="15">
        <v>516</v>
      </c>
      <c r="E39" s="14">
        <v>26.74610599</v>
      </c>
      <c r="F39" s="16">
        <v>2.3621550500000001</v>
      </c>
      <c r="G39" s="14">
        <v>73.253894009999996</v>
      </c>
      <c r="H39" s="16">
        <v>2.3621550500000001</v>
      </c>
      <c r="I39" s="14" t="s">
        <v>139</v>
      </c>
      <c r="J39" s="16" t="s">
        <v>139</v>
      </c>
      <c r="K39" s="14">
        <v>0</v>
      </c>
      <c r="L39" s="16">
        <v>0</v>
      </c>
      <c r="M39" s="14">
        <v>0</v>
      </c>
      <c r="N39" s="16">
        <v>0</v>
      </c>
      <c r="O39" s="14">
        <v>0</v>
      </c>
      <c r="P39" s="16">
        <v>0</v>
      </c>
      <c r="Q39" s="14">
        <v>0</v>
      </c>
      <c r="R39" s="16">
        <v>0</v>
      </c>
    </row>
    <row r="40" spans="1:18" x14ac:dyDescent="0.25">
      <c r="A40" s="11" t="s">
        <v>173</v>
      </c>
      <c r="B40" s="13">
        <v>6922</v>
      </c>
      <c r="C40" s="14">
        <f>(5778/B40*100)</f>
        <v>83.472984686506791</v>
      </c>
      <c r="D40" s="15">
        <v>1144</v>
      </c>
      <c r="E40" s="14">
        <v>24.769719649999999</v>
      </c>
      <c r="F40" s="16">
        <v>2.1667011</v>
      </c>
      <c r="G40" s="14">
        <v>75.230280350000001</v>
      </c>
      <c r="H40" s="16">
        <v>2.1667011</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(2397/B41*100)</f>
        <v>83.987386124737213</v>
      </c>
      <c r="D41" s="15">
        <v>457</v>
      </c>
      <c r="E41" s="14">
        <v>21.558441729999998</v>
      </c>
      <c r="F41" s="16">
        <v>2.0369493799999998</v>
      </c>
      <c r="G41" s="14">
        <v>78.441558270000002</v>
      </c>
      <c r="H41" s="16">
        <v>2.0369493799999998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84.4120956548538</v>
      </c>
      <c r="D42" s="15">
        <f>IF(COUNT(D7:D41) &gt; 0, AVERAGE(D7:D41), "—")</f>
        <v>564.375</v>
      </c>
      <c r="E42" s="14">
        <f>IF(COUNT(E7:E41) &gt; 0, AVERAGE(E7:E41), "—")</f>
        <v>25.799920064374998</v>
      </c>
      <c r="F42" s="16">
        <f>IF(COUNT(F7:F41) &gt; 0, SQRT(SUMSQ(F7:F41)/(COUNT(F7:F41)*COUNT(F7:F41)) ), "—")</f>
        <v>0.38910062987929117</v>
      </c>
      <c r="G42" s="14">
        <f>IF(COUNT(G7:G41) &gt; 0, AVERAGE(G7:G41), "—")</f>
        <v>74.200079935624998</v>
      </c>
      <c r="H42" s="16">
        <f>IF(COUNT(H7:H41) &gt; 0, SQRT(SUMSQ(H7:H41)/(COUNT(H7:H41)*COUNT(H7:H41)) ), "—")</f>
        <v>0.38910062987929117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(10858/B46*100)</f>
        <v>89.936221320301499</v>
      </c>
      <c r="D46" s="15">
        <v>1215</v>
      </c>
      <c r="E46" s="14">
        <v>44.615890180000001</v>
      </c>
      <c r="F46" s="16">
        <v>1.80632386</v>
      </c>
      <c r="G46" s="14">
        <v>55.384109819999999</v>
      </c>
      <c r="H46" s="16">
        <v>1.80632386</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(2394/B47*100)</f>
        <v>84.803400637619546</v>
      </c>
      <c r="D47" s="15">
        <v>429</v>
      </c>
      <c r="E47" s="14">
        <v>33.721983010000002</v>
      </c>
      <c r="F47" s="16">
        <v>2.4512689999999999</v>
      </c>
      <c r="G47" s="14">
        <v>66.278016989999998</v>
      </c>
      <c r="H47" s="16">
        <v>2.4512689999999999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(3914/B48*100)</f>
        <v>83.596753524134982</v>
      </c>
      <c r="D48" s="15">
        <v>768</v>
      </c>
      <c r="E48" s="14">
        <v>29.511377509999999</v>
      </c>
      <c r="F48" s="16">
        <v>2.0768055300000001</v>
      </c>
      <c r="G48" s="14">
        <v>70.488622489999997</v>
      </c>
      <c r="H48" s="16">
        <v>2.0768055300000001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(5269/B50*100)</f>
        <v>85.563494641117245</v>
      </c>
      <c r="D50" s="15">
        <v>889</v>
      </c>
      <c r="E50" s="14">
        <v>40.837468770000001</v>
      </c>
      <c r="F50" s="16">
        <v>1.7945484700000001</v>
      </c>
      <c r="G50" s="14">
        <v>59.162531229999999</v>
      </c>
      <c r="H50" s="16">
        <v>1.7945484700000001</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(3057/B51*100)</f>
        <v>87.492844876931883</v>
      </c>
      <c r="D51" s="15">
        <v>437</v>
      </c>
      <c r="E51" s="14">
        <v>41.647547090000003</v>
      </c>
      <c r="F51" s="16">
        <v>2.0290998400000002</v>
      </c>
      <c r="G51" s="14">
        <v>58.352452909999997</v>
      </c>
      <c r="H51" s="16">
        <v>2.0290998400000002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(2516/B52*100)</f>
        <v>83.504812479256557</v>
      </c>
      <c r="D52" s="15">
        <v>497</v>
      </c>
      <c r="E52" s="14">
        <v>30.472311260000001</v>
      </c>
      <c r="F52" s="16">
        <v>2.3695113999999999</v>
      </c>
      <c r="G52" s="14">
        <v>69.527688740000002</v>
      </c>
      <c r="H52" s="16">
        <v>2.3695113999999999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(2355/B53*100)</f>
        <v>85.326086956521735</v>
      </c>
      <c r="D53" s="15">
        <v>405</v>
      </c>
      <c r="E53" s="14">
        <v>37.233094659999999</v>
      </c>
      <c r="F53" s="16">
        <v>2.6962428699999998</v>
      </c>
      <c r="G53" s="14">
        <v>62.766905340000001</v>
      </c>
      <c r="H53" s="16">
        <v>2.6962428699999998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(2213/B56*100)</f>
        <v>82.728971962616825</v>
      </c>
      <c r="D56" s="15">
        <v>462</v>
      </c>
      <c r="E56" s="14">
        <v>9.4221318000000007</v>
      </c>
      <c r="F56" s="16">
        <v>1.3615415900000001</v>
      </c>
      <c r="G56" s="14">
        <v>90.577868199999998</v>
      </c>
      <c r="H56" s="16">
        <v>1.3615415900000001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(2681/B61*100)</f>
        <v>83.75507653858169</v>
      </c>
      <c r="D61" s="15">
        <v>520</v>
      </c>
      <c r="E61" s="14">
        <v>24.251824160000002</v>
      </c>
      <c r="F61" s="16">
        <v>2.17767138</v>
      </c>
      <c r="G61" s="14">
        <v>75.748175840000002</v>
      </c>
      <c r="H61" s="16">
        <v>2.17767138</v>
      </c>
      <c r="I61" s="14" t="s">
        <v>139</v>
      </c>
      <c r="J61" s="16" t="s">
        <v>139</v>
      </c>
      <c r="K61" s="14">
        <v>0</v>
      </c>
      <c r="L61" s="16">
        <v>0</v>
      </c>
      <c r="M61" s="14">
        <v>0</v>
      </c>
      <c r="N61" s="16">
        <v>0</v>
      </c>
      <c r="O61" s="14">
        <v>0</v>
      </c>
      <c r="P61" s="16">
        <v>0</v>
      </c>
      <c r="Q61" s="14">
        <v>0</v>
      </c>
      <c r="R61" s="16">
        <v>0</v>
      </c>
    </row>
    <row r="62" spans="1:18" x14ac:dyDescent="0.25">
      <c r="A62" s="11" t="s">
        <v>195</v>
      </c>
      <c r="B62" s="13">
        <v>2230</v>
      </c>
      <c r="C62" s="14">
        <f>(1886/B62*100)</f>
        <v>84.573991031390136</v>
      </c>
      <c r="D62" s="15">
        <v>344</v>
      </c>
      <c r="E62" s="14">
        <v>26.322910449999998</v>
      </c>
      <c r="F62" s="16">
        <v>2.2983026299999998</v>
      </c>
      <c r="G62" s="14">
        <v>73.677089550000005</v>
      </c>
      <c r="H62" s="16">
        <v>2.2983026299999998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43.403426070000002</v>
      </c>
      <c r="F66" s="16">
        <v>2.5773189200000002</v>
      </c>
      <c r="G66" s="14">
        <v>56.596573929999998</v>
      </c>
      <c r="H66" s="16">
        <v>2.5773189200000002</v>
      </c>
      <c r="I66" s="14" t="s">
        <v>139</v>
      </c>
      <c r="J66" s="16" t="s">
        <v>139</v>
      </c>
      <c r="K66" s="14">
        <v>0</v>
      </c>
      <c r="L66" s="16">
        <v>0</v>
      </c>
      <c r="M66" s="14">
        <v>0</v>
      </c>
      <c r="N66" s="16">
        <v>0</v>
      </c>
      <c r="O66" s="14">
        <v>0</v>
      </c>
      <c r="P66" s="16">
        <v>0</v>
      </c>
      <c r="Q66" s="14">
        <v>0</v>
      </c>
      <c r="R66" s="16">
        <v>0</v>
      </c>
    </row>
    <row r="67" spans="1:18" x14ac:dyDescent="0.25">
      <c r="A67" s="11" t="s">
        <v>200</v>
      </c>
      <c r="B67" s="13">
        <v>3460</v>
      </c>
      <c r="C67" s="14">
        <f>(3054/B67*100)</f>
        <v>88.265895953757223</v>
      </c>
      <c r="D67" s="15">
        <v>406</v>
      </c>
      <c r="E67" s="14">
        <v>72.657134020000001</v>
      </c>
      <c r="F67" s="16">
        <v>2.52039722</v>
      </c>
      <c r="G67" s="14">
        <v>27.342865979999999</v>
      </c>
      <c r="H67" s="16">
        <v>2.52039722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(2622/B70*100)</f>
        <v>84.390086900547161</v>
      </c>
      <c r="D70" s="15">
        <v>485</v>
      </c>
      <c r="E70" s="14">
        <v>40.382023879999998</v>
      </c>
      <c r="F70" s="16">
        <v>2.9910364399999998</v>
      </c>
      <c r="G70" s="14">
        <v>59.617976120000002</v>
      </c>
      <c r="H70" s="16">
        <v>2.9910364399999998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(3163/B72*100)</f>
        <v>82.822728462948419</v>
      </c>
      <c r="D72" s="15">
        <v>656</v>
      </c>
      <c r="E72" s="14">
        <v>17.780543779999999</v>
      </c>
      <c r="F72" s="16">
        <v>1.68132064</v>
      </c>
      <c r="G72" s="14">
        <v>82.219456219999998</v>
      </c>
      <c r="H72" s="16">
        <v>1.68132064</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(4002/B73*100)</f>
        <v>86.027515047291487</v>
      </c>
      <c r="D73" s="15">
        <v>650</v>
      </c>
      <c r="E73" s="14">
        <v>32.397250159999999</v>
      </c>
      <c r="F73" s="16">
        <v>2.20484349</v>
      </c>
      <c r="G73" s="14">
        <v>67.602749840000001</v>
      </c>
      <c r="H73" s="16">
        <v>2.20484349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(2554/B75*100)</f>
        <v>86.022229706972041</v>
      </c>
      <c r="D75" s="15">
        <v>415</v>
      </c>
      <c r="E75" s="14">
        <v>46.532680229999997</v>
      </c>
      <c r="F75" s="16">
        <v>2.3116314400000002</v>
      </c>
      <c r="G75" s="14">
        <v>53.467319770000003</v>
      </c>
      <c r="H75" s="16">
        <v>2.3116314400000002</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(5930/B76*100)</f>
        <v>83.345045678144771</v>
      </c>
      <c r="D76" s="15">
        <v>1185</v>
      </c>
      <c r="E76" s="14">
        <v>32.090727610000002</v>
      </c>
      <c r="F76" s="16">
        <v>1.4736654199999999</v>
      </c>
      <c r="G76" s="14">
        <v>67.909272389999998</v>
      </c>
      <c r="H76" s="16">
        <v>1.4736654199999999</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(2698/B77*100)</f>
        <v>85.542168674698786</v>
      </c>
      <c r="D77" s="15">
        <v>456</v>
      </c>
      <c r="E77" s="14">
        <v>38.774522429999998</v>
      </c>
      <c r="F77" s="16">
        <v>2.2488294400000002</v>
      </c>
      <c r="G77" s="14">
        <v>61.225477570000002</v>
      </c>
      <c r="H77" s="16">
        <v>2.2488294400000002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28.213443680000001</v>
      </c>
      <c r="F81" s="16">
        <v>2.02970519</v>
      </c>
      <c r="G81" s="14">
        <v>71.786556320000003</v>
      </c>
      <c r="H81" s="16">
        <v>2.02970519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(6051/B7*100)</f>
        <v>84.475778305179389</v>
      </c>
      <c r="D7" s="15">
        <v>1112</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3443</v>
      </c>
      <c r="C8" s="14">
        <f>(2878/B8*100)</f>
        <v>83.589892535579438</v>
      </c>
      <c r="D8" s="15">
        <v>565</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4752</v>
      </c>
      <c r="C9" s="14">
        <f>(4059/B9*100)</f>
        <v>85.416666666666657</v>
      </c>
      <c r="D9" s="15">
        <v>693</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10022</v>
      </c>
      <c r="C10" s="14">
        <f>(8384/B10*100)</f>
        <v>83.655956894831377</v>
      </c>
      <c r="D10" s="15">
        <v>1638</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3500</v>
      </c>
      <c r="C11" s="14">
        <f>(2983/B11*100)</f>
        <v>85.228571428571428</v>
      </c>
      <c r="D11" s="15">
        <v>517</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3422</v>
      </c>
      <c r="C12" s="14">
        <f>(2925/B12*100)</f>
        <v>85.476329631794272</v>
      </c>
      <c r="D12" s="15">
        <v>497</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3602</v>
      </c>
      <c r="C13" s="14">
        <f>(3060/B13*100)</f>
        <v>84.952803997779014</v>
      </c>
      <c r="D13" s="15">
        <v>542</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2788</v>
      </c>
      <c r="C14" s="14">
        <f>(2333/B14*100)</f>
        <v>83.680057388809175</v>
      </c>
      <c r="D14" s="15">
        <v>455</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2863</v>
      </c>
      <c r="C15" s="14">
        <f>(2398/B15*100)</f>
        <v>83.758295494236819</v>
      </c>
      <c r="D15" s="15">
        <v>465</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3111</v>
      </c>
      <c r="C16" s="14">
        <f>(2617/B16*100)</f>
        <v>84.120861459337831</v>
      </c>
      <c r="D16" s="15">
        <v>494</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3197</v>
      </c>
      <c r="C17" s="14">
        <f>(2676/B17*100)</f>
        <v>83.703472005004684</v>
      </c>
      <c r="D17" s="15">
        <v>521</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2706</v>
      </c>
      <c r="C18" s="14">
        <f>(2251/B18*100)</f>
        <v>83.185513673318553</v>
      </c>
      <c r="D18" s="15">
        <v>455</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2850</v>
      </c>
      <c r="C19" s="14">
        <f>(2422/B19*100)</f>
        <v>84.982456140350877</v>
      </c>
      <c r="D19" s="15">
        <v>428</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1741</v>
      </c>
      <c r="C20" s="14">
        <f>(1468/B20*100)</f>
        <v>84.319356691556578</v>
      </c>
      <c r="D20" s="15">
        <v>273</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(3172/B22*100)</f>
        <v>86.501227161167165</v>
      </c>
      <c r="D22" s="15">
        <v>495</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5792</v>
      </c>
      <c r="C23" s="14">
        <f>(4845/B23*100)</f>
        <v>83.649861878453038</v>
      </c>
      <c r="D23" s="15">
        <v>947</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3309</v>
      </c>
      <c r="C24" s="14">
        <f>(2755/B24*100)</f>
        <v>83.257781807192515</v>
      </c>
      <c r="D24" s="15">
        <v>554</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2669</v>
      </c>
      <c r="C25" s="14">
        <f>(2209/B25*100)</f>
        <v>82.765080554514796</v>
      </c>
      <c r="D25" s="15">
        <v>460</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2419</v>
      </c>
      <c r="C26" s="14">
        <f>(2010/B26*100)</f>
        <v>83.092186854071926</v>
      </c>
      <c r="D26" s="15">
        <v>409</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2683</v>
      </c>
      <c r="C27" s="14">
        <f>(2273/B27*100)</f>
        <v>84.718598583674989</v>
      </c>
      <c r="D27" s="15">
        <v>410</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3803</v>
      </c>
      <c r="C28" s="14">
        <f>(3283/B28*100)</f>
        <v>86.326584275571918</v>
      </c>
      <c r="D28" s="15">
        <v>520</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2700</v>
      </c>
      <c r="C29" s="14">
        <f>(2267/B29*100)</f>
        <v>83.962962962962962</v>
      </c>
      <c r="D29" s="15">
        <v>433</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2257</v>
      </c>
      <c r="C30" s="14">
        <f>(1948/B30*100)</f>
        <v>86.30926007975188</v>
      </c>
      <c r="D30" s="15">
        <v>309</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2706</v>
      </c>
      <c r="C31" s="14">
        <f>(2279/B31*100)</f>
        <v>84.220251293422024</v>
      </c>
      <c r="D31" s="15">
        <v>427</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(3129/B33*100)</f>
        <v>85.702547247329491</v>
      </c>
      <c r="D33" s="15">
        <v>522</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3035</v>
      </c>
      <c r="C34" s="14">
        <f>(2594/B34*100)</f>
        <v>85.469522240527183</v>
      </c>
      <c r="D34" s="15">
        <v>441</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2901</v>
      </c>
      <c r="C35" s="14">
        <f>(2436/B35*100)</f>
        <v>83.971044467425031</v>
      </c>
      <c r="D35" s="15">
        <v>465</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3404</v>
      </c>
      <c r="C36" s="14">
        <f>(2906/B36*100)</f>
        <v>85.370152761457106</v>
      </c>
      <c r="D36" s="15">
        <v>498</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2731</v>
      </c>
      <c r="C37" s="14">
        <f>(2333/B37*100)</f>
        <v>85.426583668985728</v>
      </c>
      <c r="D37" s="15">
        <v>398</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(2422/B39*100)</f>
        <v>82.437031994554118</v>
      </c>
      <c r="D39" s="15">
        <v>516</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6922</v>
      </c>
      <c r="C40" s="14">
        <f>(5778/B40*100)</f>
        <v>83.472984686506791</v>
      </c>
      <c r="D40" s="15">
        <v>1144</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2854</v>
      </c>
      <c r="C41" s="14">
        <f>(2397/B41*100)</f>
        <v>83.987386124737213</v>
      </c>
      <c r="D41" s="15">
        <v>457</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3612.53125</v>
      </c>
      <c r="C42" s="14">
        <f>IF(COUNT(C7:C41) &gt; 0, AVERAGE(C7:C41), "—")</f>
        <v>84.4120956548538</v>
      </c>
      <c r="D42" s="15">
        <f>IF(COUNT(D7:D41) &gt; 0, AVERAGE(D7:D41), "—")</f>
        <v>564.375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(10858/B46*100)</f>
        <v>89.936221320301499</v>
      </c>
      <c r="D46" s="15">
        <v>1215</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2823</v>
      </c>
      <c r="C47" s="14">
        <f>(2394/B47*100)</f>
        <v>84.803400637619546</v>
      </c>
      <c r="D47" s="15">
        <v>429</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4682</v>
      </c>
      <c r="C48" s="14">
        <f>(3914/B48*100)</f>
        <v>83.596753524134982</v>
      </c>
      <c r="D48" s="15">
        <v>768</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(5269/B50*100)</f>
        <v>85.563494641117245</v>
      </c>
      <c r="D50" s="15">
        <v>889</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3494</v>
      </c>
      <c r="C51" s="14">
        <f>(3057/B51*100)</f>
        <v>87.492844876931883</v>
      </c>
      <c r="D51" s="15">
        <v>437</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3013</v>
      </c>
      <c r="C52" s="14">
        <f>(2516/B52*100)</f>
        <v>83.504812479256557</v>
      </c>
      <c r="D52" s="15">
        <v>497</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2760</v>
      </c>
      <c r="C53" s="14">
        <f>(2355/B53*100)</f>
        <v>85.326086956521735</v>
      </c>
      <c r="D53" s="15">
        <v>405</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(2213/B56*100)</f>
        <v>82.728971962616825</v>
      </c>
      <c r="D56" s="15">
        <v>462</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(2681/B61*100)</f>
        <v>83.75507653858169</v>
      </c>
      <c r="D61" s="15">
        <v>520</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2230</v>
      </c>
      <c r="C62" s="14">
        <f>(1886/B62*100)</f>
        <v>84.573991031390136</v>
      </c>
      <c r="D62" s="15">
        <v>344</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3460</v>
      </c>
      <c r="C67" s="14">
        <f>(3054/B67*100)</f>
        <v>88.265895953757223</v>
      </c>
      <c r="D67" s="15">
        <v>406</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(2622/B70*100)</f>
        <v>84.390086900547161</v>
      </c>
      <c r="D70" s="15">
        <v>485</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(3163/B72*100)</f>
        <v>82.822728462948419</v>
      </c>
      <c r="D72" s="15">
        <v>656</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4652</v>
      </c>
      <c r="C73" s="14">
        <f>(4002/B73*100)</f>
        <v>86.027515047291487</v>
      </c>
      <c r="D73" s="15">
        <v>650</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(2554/B75*100)</f>
        <v>86.022229706972041</v>
      </c>
      <c r="D75" s="15">
        <v>415</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7115</v>
      </c>
      <c r="C76" s="14">
        <f>(5930/B76*100)</f>
        <v>83.345045678144771</v>
      </c>
      <c r="D76" s="15">
        <v>1185</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3154</v>
      </c>
      <c r="C77" s="14">
        <f>(2698/B77*100)</f>
        <v>85.542168674698786</v>
      </c>
      <c r="D77" s="15">
        <v>456</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(6051/B7*100)</f>
        <v>84.475778305179389</v>
      </c>
      <c r="D7" s="15">
        <v>1112</v>
      </c>
      <c r="E7" s="14">
        <v>10.658128850000001</v>
      </c>
      <c r="F7" s="16">
        <v>1.0440880400000001</v>
      </c>
      <c r="G7" s="14">
        <v>89.341871150000003</v>
      </c>
      <c r="H7" s="16">
        <v>1.0440880400000001</v>
      </c>
      <c r="I7" s="14" t="s">
        <v>139</v>
      </c>
      <c r="J7" s="16" t="s">
        <v>139</v>
      </c>
      <c r="K7" s="14">
        <v>0</v>
      </c>
      <c r="L7" s="16">
        <v>0</v>
      </c>
      <c r="M7" s="14">
        <v>0</v>
      </c>
      <c r="N7" s="16">
        <v>0</v>
      </c>
      <c r="O7" s="14">
        <v>0</v>
      </c>
      <c r="P7" s="16">
        <v>0</v>
      </c>
      <c r="Q7" s="14">
        <v>0</v>
      </c>
      <c r="R7" s="16">
        <v>0</v>
      </c>
    </row>
    <row r="8" spans="1:18" x14ac:dyDescent="0.25">
      <c r="A8" s="11" t="s">
        <v>140</v>
      </c>
      <c r="B8" s="13">
        <v>3443</v>
      </c>
      <c r="C8" s="14">
        <f>(2878/B8*100)</f>
        <v>83.589892535579438</v>
      </c>
      <c r="D8" s="15">
        <v>565</v>
      </c>
      <c r="E8" s="14">
        <v>7.41739368</v>
      </c>
      <c r="F8" s="16">
        <v>1.2036136900000001</v>
      </c>
      <c r="G8" s="14">
        <v>92.582606319999996</v>
      </c>
      <c r="H8" s="16">
        <v>1.2036136900000001</v>
      </c>
      <c r="I8" s="14" t="s">
        <v>139</v>
      </c>
      <c r="J8" s="16" t="s">
        <v>139</v>
      </c>
      <c r="K8" s="14">
        <v>0</v>
      </c>
      <c r="L8" s="16">
        <v>0</v>
      </c>
      <c r="M8" s="14">
        <v>0</v>
      </c>
      <c r="N8" s="16">
        <v>0</v>
      </c>
      <c r="O8" s="14">
        <v>0</v>
      </c>
      <c r="P8" s="16">
        <v>0</v>
      </c>
      <c r="Q8" s="14">
        <v>0</v>
      </c>
      <c r="R8" s="16">
        <v>0</v>
      </c>
    </row>
    <row r="9" spans="1:18" x14ac:dyDescent="0.25">
      <c r="A9" s="11" t="s">
        <v>141</v>
      </c>
      <c r="B9" s="13">
        <v>4752</v>
      </c>
      <c r="C9" s="14">
        <f>(4059/B9*100)</f>
        <v>85.416666666666657</v>
      </c>
      <c r="D9" s="15">
        <v>693</v>
      </c>
      <c r="E9" s="14">
        <v>13.445279859999999</v>
      </c>
      <c r="F9" s="16">
        <v>1.4524416499999999</v>
      </c>
      <c r="G9" s="14">
        <v>86.554720140000001</v>
      </c>
      <c r="H9" s="16">
        <v>1.4524416499999999</v>
      </c>
      <c r="I9" s="14" t="s">
        <v>139</v>
      </c>
      <c r="J9" s="16" t="s">
        <v>139</v>
      </c>
      <c r="K9" s="14">
        <v>0</v>
      </c>
      <c r="L9" s="16">
        <v>0</v>
      </c>
      <c r="M9" s="14">
        <v>0</v>
      </c>
      <c r="N9" s="16">
        <v>0</v>
      </c>
      <c r="O9" s="14">
        <v>0</v>
      </c>
      <c r="P9" s="16">
        <v>0</v>
      </c>
      <c r="Q9" s="14">
        <v>0</v>
      </c>
      <c r="R9" s="16">
        <v>0</v>
      </c>
    </row>
    <row r="10" spans="1:18" x14ac:dyDescent="0.25">
      <c r="A10" s="11" t="s">
        <v>142</v>
      </c>
      <c r="B10" s="13">
        <v>10022</v>
      </c>
      <c r="C10" s="14">
        <f>(8384/B10*100)</f>
        <v>83.655956894831377</v>
      </c>
      <c r="D10" s="15">
        <v>1638</v>
      </c>
      <c r="E10" s="14">
        <v>9.8530041399999995</v>
      </c>
      <c r="F10" s="16">
        <v>0.94652985000000001</v>
      </c>
      <c r="G10" s="14">
        <v>90.146995860000004</v>
      </c>
      <c r="H10" s="16">
        <v>0.94652985000000001</v>
      </c>
      <c r="I10" s="14" t="s">
        <v>139</v>
      </c>
      <c r="J10" s="16" t="s">
        <v>139</v>
      </c>
      <c r="K10" s="14">
        <v>0</v>
      </c>
      <c r="L10" s="16">
        <v>0</v>
      </c>
      <c r="M10" s="14">
        <v>0</v>
      </c>
      <c r="N10" s="16">
        <v>0</v>
      </c>
      <c r="O10" s="14">
        <v>0</v>
      </c>
      <c r="P10" s="16">
        <v>0</v>
      </c>
      <c r="Q10" s="14">
        <v>0</v>
      </c>
      <c r="R10" s="16">
        <v>0</v>
      </c>
    </row>
    <row r="11" spans="1:18" x14ac:dyDescent="0.25">
      <c r="A11" s="11" t="s">
        <v>143</v>
      </c>
      <c r="B11" s="13">
        <v>3500</v>
      </c>
      <c r="C11" s="14">
        <f>(2983/B11*100)</f>
        <v>85.228571428571428</v>
      </c>
      <c r="D11" s="15">
        <v>517</v>
      </c>
      <c r="E11" s="14">
        <v>9.0541757599999997</v>
      </c>
      <c r="F11" s="16">
        <v>1.1129549599999999</v>
      </c>
      <c r="G11" s="14">
        <v>90.945824239999993</v>
      </c>
      <c r="H11" s="16">
        <v>1.1129549599999999</v>
      </c>
      <c r="I11" s="14" t="s">
        <v>139</v>
      </c>
      <c r="J11" s="16" t="s">
        <v>139</v>
      </c>
      <c r="K11" s="14">
        <v>0</v>
      </c>
      <c r="L11" s="16">
        <v>0</v>
      </c>
      <c r="M11" s="14">
        <v>0</v>
      </c>
      <c r="N11" s="16">
        <v>0</v>
      </c>
      <c r="O11" s="14">
        <v>0</v>
      </c>
      <c r="P11" s="16">
        <v>0</v>
      </c>
      <c r="Q11" s="14">
        <v>0</v>
      </c>
      <c r="R11" s="16">
        <v>0</v>
      </c>
    </row>
    <row r="12" spans="1:18" x14ac:dyDescent="0.25">
      <c r="A12" s="11" t="s">
        <v>144</v>
      </c>
      <c r="B12" s="13">
        <v>3422</v>
      </c>
      <c r="C12" s="14">
        <f>(2925/B12*100)</f>
        <v>85.476329631794272</v>
      </c>
      <c r="D12" s="15">
        <v>497</v>
      </c>
      <c r="E12" s="14">
        <v>6.7863087799999997</v>
      </c>
      <c r="F12" s="16">
        <v>1.09395361</v>
      </c>
      <c r="G12" s="14">
        <v>93.213691220000001</v>
      </c>
      <c r="H12" s="16">
        <v>1.09395361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(3060/B13*100)</f>
        <v>84.952803997779014</v>
      </c>
      <c r="D13" s="15">
        <v>542</v>
      </c>
      <c r="E13" s="14">
        <v>7.0091375899999999</v>
      </c>
      <c r="F13" s="16">
        <v>1.20902986</v>
      </c>
      <c r="G13" s="14">
        <v>92.990862410000005</v>
      </c>
      <c r="H13" s="16">
        <v>1.20902986</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(2333/B14*100)</f>
        <v>83.680057388809175</v>
      </c>
      <c r="D14" s="15">
        <v>455</v>
      </c>
      <c r="E14" s="14">
        <v>7.3277322900000001</v>
      </c>
      <c r="F14" s="16">
        <v>1.40725692</v>
      </c>
      <c r="G14" s="14">
        <v>92.67226771</v>
      </c>
      <c r="H14" s="16">
        <v>1.40725692</v>
      </c>
      <c r="I14" s="14" t="s">
        <v>139</v>
      </c>
      <c r="J14" s="16" t="s">
        <v>139</v>
      </c>
      <c r="K14" s="14">
        <v>0</v>
      </c>
      <c r="L14" s="16">
        <v>0</v>
      </c>
      <c r="M14" s="14">
        <v>0</v>
      </c>
      <c r="N14" s="16">
        <v>0</v>
      </c>
      <c r="O14" s="14">
        <v>0</v>
      </c>
      <c r="P14" s="16">
        <v>0</v>
      </c>
      <c r="Q14" s="14">
        <v>0</v>
      </c>
      <c r="R14" s="16">
        <v>0</v>
      </c>
    </row>
    <row r="15" spans="1:18" x14ac:dyDescent="0.25">
      <c r="A15" s="11" t="s">
        <v>147</v>
      </c>
      <c r="B15" s="13">
        <v>2863</v>
      </c>
      <c r="C15" s="14">
        <f>(2398/B15*100)</f>
        <v>83.758295494236819</v>
      </c>
      <c r="D15" s="15">
        <v>465</v>
      </c>
      <c r="E15" s="14">
        <v>5.2246599399999996</v>
      </c>
      <c r="F15" s="16">
        <v>1.1213116299999999</v>
      </c>
      <c r="G15" s="14">
        <v>94.775340060000005</v>
      </c>
      <c r="H15" s="16">
        <v>1.1213116299999999</v>
      </c>
      <c r="I15" s="14" t="s">
        <v>139</v>
      </c>
      <c r="J15" s="16" t="s">
        <v>139</v>
      </c>
      <c r="K15" s="14">
        <v>0</v>
      </c>
      <c r="L15" s="16">
        <v>0</v>
      </c>
      <c r="M15" s="14">
        <v>0</v>
      </c>
      <c r="N15" s="16">
        <v>0</v>
      </c>
      <c r="O15" s="14">
        <v>0</v>
      </c>
      <c r="P15" s="16">
        <v>0</v>
      </c>
      <c r="Q15" s="14">
        <v>0</v>
      </c>
      <c r="R15" s="16">
        <v>0</v>
      </c>
    </row>
    <row r="16" spans="1:18" x14ac:dyDescent="0.25">
      <c r="A16" s="11" t="s">
        <v>148</v>
      </c>
      <c r="B16" s="13">
        <v>3111</v>
      </c>
      <c r="C16" s="14">
        <f>(2617/B16*100)</f>
        <v>84.120861459337831</v>
      </c>
      <c r="D16" s="15">
        <v>494</v>
      </c>
      <c r="E16" s="14">
        <v>15.111348449999999</v>
      </c>
      <c r="F16" s="16">
        <v>1.5548425299999999</v>
      </c>
      <c r="G16" s="14">
        <v>84.888651550000006</v>
      </c>
      <c r="H16" s="16">
        <v>1.5548425299999999</v>
      </c>
      <c r="I16" s="14" t="s">
        <v>139</v>
      </c>
      <c r="J16" s="16" t="s">
        <v>139</v>
      </c>
      <c r="K16" s="14">
        <v>0</v>
      </c>
      <c r="L16" s="16">
        <v>0</v>
      </c>
      <c r="M16" s="14">
        <v>0</v>
      </c>
      <c r="N16" s="16">
        <v>0</v>
      </c>
      <c r="O16" s="14">
        <v>0</v>
      </c>
      <c r="P16" s="16">
        <v>0</v>
      </c>
      <c r="Q16" s="14">
        <v>0</v>
      </c>
      <c r="R16" s="16">
        <v>0</v>
      </c>
    </row>
    <row r="17" spans="1:18" x14ac:dyDescent="0.25">
      <c r="A17" s="11" t="s">
        <v>149</v>
      </c>
      <c r="B17" s="13">
        <v>3197</v>
      </c>
      <c r="C17" s="14">
        <f>(2676/B17*100)</f>
        <v>83.703472005004684</v>
      </c>
      <c r="D17" s="15">
        <v>521</v>
      </c>
      <c r="E17" s="14">
        <v>9.1553588599999998</v>
      </c>
      <c r="F17" s="16">
        <v>1.3663289000000001</v>
      </c>
      <c r="G17" s="14">
        <v>90.844641139999993</v>
      </c>
      <c r="H17" s="16">
        <v>1.3663289000000001</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(2251/B18*100)</f>
        <v>83.185513673318553</v>
      </c>
      <c r="D18" s="15">
        <v>455</v>
      </c>
      <c r="E18" s="14">
        <v>9.1475304299999998</v>
      </c>
      <c r="F18" s="16">
        <v>1.14466752</v>
      </c>
      <c r="G18" s="14">
        <v>90.852469569999997</v>
      </c>
      <c r="H18" s="16">
        <v>1.14466752</v>
      </c>
      <c r="I18" s="14" t="s">
        <v>139</v>
      </c>
      <c r="J18" s="16" t="s">
        <v>139</v>
      </c>
      <c r="K18" s="14">
        <v>0</v>
      </c>
      <c r="L18" s="16">
        <v>0</v>
      </c>
      <c r="M18" s="14">
        <v>0</v>
      </c>
      <c r="N18" s="16">
        <v>0</v>
      </c>
      <c r="O18" s="14">
        <v>0</v>
      </c>
      <c r="P18" s="16">
        <v>0</v>
      </c>
      <c r="Q18" s="14">
        <v>0</v>
      </c>
      <c r="R18" s="16">
        <v>0</v>
      </c>
    </row>
    <row r="19" spans="1:18" x14ac:dyDescent="0.25">
      <c r="A19" s="11" t="s">
        <v>151</v>
      </c>
      <c r="B19" s="13">
        <v>2850</v>
      </c>
      <c r="C19" s="14">
        <f>(2422/B19*100)</f>
        <v>84.982456140350877</v>
      </c>
      <c r="D19" s="15">
        <v>428</v>
      </c>
      <c r="E19" s="14">
        <v>11.71216877</v>
      </c>
      <c r="F19" s="16">
        <v>1.76312589</v>
      </c>
      <c r="G19" s="14">
        <v>88.287831229999995</v>
      </c>
      <c r="H19" s="16">
        <v>1.76312589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(1468/B20*100)</f>
        <v>84.319356691556578</v>
      </c>
      <c r="D20" s="15">
        <v>273</v>
      </c>
      <c r="E20" s="14">
        <v>8.6592404700000003</v>
      </c>
      <c r="F20" s="16">
        <v>1.83840409</v>
      </c>
      <c r="G20" s="14">
        <v>91.34075953</v>
      </c>
      <c r="H20" s="16">
        <v>1.83840409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(3172/B22*100)</f>
        <v>86.501227161167165</v>
      </c>
      <c r="D22" s="15">
        <v>495</v>
      </c>
      <c r="E22" s="14">
        <v>9.6273191400000009</v>
      </c>
      <c r="F22" s="16">
        <v>1.35128318</v>
      </c>
      <c r="G22" s="14">
        <v>90.372680860000003</v>
      </c>
      <c r="H22" s="16">
        <v>1.35128318</v>
      </c>
      <c r="I22" s="14" t="s">
        <v>139</v>
      </c>
      <c r="J22" s="16" t="s">
        <v>139</v>
      </c>
      <c r="K22" s="14">
        <v>0</v>
      </c>
      <c r="L22" s="16">
        <v>0</v>
      </c>
      <c r="M22" s="14">
        <v>0</v>
      </c>
      <c r="N22" s="16">
        <v>0</v>
      </c>
      <c r="O22" s="14">
        <v>0</v>
      </c>
      <c r="P22" s="16">
        <v>0</v>
      </c>
      <c r="Q22" s="14">
        <v>0</v>
      </c>
      <c r="R22" s="16">
        <v>0</v>
      </c>
    </row>
    <row r="23" spans="1:18" x14ac:dyDescent="0.25">
      <c r="A23" s="11" t="s">
        <v>156</v>
      </c>
      <c r="B23" s="13">
        <v>5792</v>
      </c>
      <c r="C23" s="14">
        <f>(4845/B23*100)</f>
        <v>83.649861878453038</v>
      </c>
      <c r="D23" s="15">
        <v>947</v>
      </c>
      <c r="E23" s="14">
        <v>12.208442140000001</v>
      </c>
      <c r="F23" s="16">
        <v>1.7707907000000001</v>
      </c>
      <c r="G23" s="14">
        <v>87.791557859999998</v>
      </c>
      <c r="H23" s="16">
        <v>1.7707907000000001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(2755/B24*100)</f>
        <v>83.257781807192515</v>
      </c>
      <c r="D24" s="15">
        <v>554</v>
      </c>
      <c r="E24" s="14">
        <v>4.5396553400000004</v>
      </c>
      <c r="F24" s="16">
        <v>0.72881996999999998</v>
      </c>
      <c r="G24" s="14">
        <v>95.460344660000004</v>
      </c>
      <c r="H24" s="16">
        <v>0.72881996999999998</v>
      </c>
      <c r="I24" s="14" t="s">
        <v>139</v>
      </c>
      <c r="J24" s="16" t="s">
        <v>139</v>
      </c>
      <c r="K24" s="14">
        <v>0</v>
      </c>
      <c r="L24" s="16">
        <v>0</v>
      </c>
      <c r="M24" s="14">
        <v>0</v>
      </c>
      <c r="N24" s="16">
        <v>0</v>
      </c>
      <c r="O24" s="14">
        <v>0</v>
      </c>
      <c r="P24" s="16">
        <v>0</v>
      </c>
      <c r="Q24" s="14">
        <v>0</v>
      </c>
      <c r="R24" s="16">
        <v>0</v>
      </c>
    </row>
    <row r="25" spans="1:18" x14ac:dyDescent="0.25">
      <c r="A25" s="11" t="s">
        <v>158</v>
      </c>
      <c r="B25" s="13">
        <v>2669</v>
      </c>
      <c r="C25" s="14">
        <f>(2209/B25*100)</f>
        <v>82.765080554514796</v>
      </c>
      <c r="D25" s="15">
        <v>460</v>
      </c>
      <c r="E25" s="14">
        <v>4.5868168000000002</v>
      </c>
      <c r="F25" s="16">
        <v>0.99903048999999999</v>
      </c>
      <c r="G25" s="14">
        <v>95.413183200000006</v>
      </c>
      <c r="H25" s="16">
        <v>0.99903048999999999</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(2010/B26*100)</f>
        <v>83.092186854071926</v>
      </c>
      <c r="D26" s="15">
        <v>409</v>
      </c>
      <c r="E26" s="14">
        <v>8.6244861999999998</v>
      </c>
      <c r="F26" s="16">
        <v>1.3872496700000001</v>
      </c>
      <c r="G26" s="14">
        <v>91.375513799999993</v>
      </c>
      <c r="H26" s="16">
        <v>1.3872496700000001</v>
      </c>
      <c r="I26" s="14" t="s">
        <v>139</v>
      </c>
      <c r="J26" s="16" t="s">
        <v>139</v>
      </c>
      <c r="K26" s="14">
        <v>0</v>
      </c>
      <c r="L26" s="16">
        <v>0</v>
      </c>
      <c r="M26" s="14">
        <v>0</v>
      </c>
      <c r="N26" s="16">
        <v>0</v>
      </c>
      <c r="O26" s="14">
        <v>0</v>
      </c>
      <c r="P26" s="16">
        <v>0</v>
      </c>
      <c r="Q26" s="14">
        <v>0</v>
      </c>
      <c r="R26" s="16">
        <v>0</v>
      </c>
    </row>
    <row r="27" spans="1:18" x14ac:dyDescent="0.25">
      <c r="A27" s="11" t="s">
        <v>160</v>
      </c>
      <c r="B27" s="13">
        <v>2683</v>
      </c>
      <c r="C27" s="14">
        <f>(2273/B27*100)</f>
        <v>84.718598583674989</v>
      </c>
      <c r="D27" s="15">
        <v>410</v>
      </c>
      <c r="E27" s="14">
        <v>10.926653630000001</v>
      </c>
      <c r="F27" s="16">
        <v>1.5903750800000001</v>
      </c>
      <c r="G27" s="14">
        <v>89.073346369999996</v>
      </c>
      <c r="H27" s="16">
        <v>1.5903750800000001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(3283/B28*100)</f>
        <v>86.326584275571918</v>
      </c>
      <c r="D28" s="15">
        <v>520</v>
      </c>
      <c r="E28" s="14">
        <v>11.584987079999999</v>
      </c>
      <c r="F28" s="16">
        <v>1.4208663800000001</v>
      </c>
      <c r="G28" s="14">
        <v>88.415012919999995</v>
      </c>
      <c r="H28" s="16">
        <v>1.4208663800000001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(2267/B29*100)</f>
        <v>83.962962962962962</v>
      </c>
      <c r="D29" s="15">
        <v>433</v>
      </c>
      <c r="E29" s="14">
        <v>6.9441668300000003</v>
      </c>
      <c r="F29" s="16">
        <v>1.2828103200000001</v>
      </c>
      <c r="G29" s="14">
        <v>93.05583317</v>
      </c>
      <c r="H29" s="16">
        <v>1.2828103200000001</v>
      </c>
      <c r="I29" s="14" t="s">
        <v>139</v>
      </c>
      <c r="J29" s="16" t="s">
        <v>139</v>
      </c>
      <c r="K29" s="14">
        <v>0</v>
      </c>
      <c r="L29" s="16">
        <v>0</v>
      </c>
      <c r="M29" s="14">
        <v>0</v>
      </c>
      <c r="N29" s="16">
        <v>0</v>
      </c>
      <c r="O29" s="14">
        <v>0</v>
      </c>
      <c r="P29" s="16">
        <v>0</v>
      </c>
      <c r="Q29" s="14">
        <v>0</v>
      </c>
      <c r="R29" s="16">
        <v>0</v>
      </c>
    </row>
    <row r="30" spans="1:18" x14ac:dyDescent="0.25">
      <c r="A30" s="11" t="s">
        <v>163</v>
      </c>
      <c r="B30" s="13">
        <v>2257</v>
      </c>
      <c r="C30" s="14">
        <f>(1948/B30*100)</f>
        <v>86.30926007975188</v>
      </c>
      <c r="D30" s="15">
        <v>309</v>
      </c>
      <c r="E30" s="14">
        <v>10.18020784</v>
      </c>
      <c r="F30" s="16">
        <v>1.3508262799999999</v>
      </c>
      <c r="G30" s="14">
        <v>89.819792160000006</v>
      </c>
      <c r="H30" s="16">
        <v>1.3508262799999999</v>
      </c>
      <c r="I30" s="14" t="s">
        <v>139</v>
      </c>
      <c r="J30" s="16" t="s">
        <v>139</v>
      </c>
      <c r="K30" s="14">
        <v>0</v>
      </c>
      <c r="L30" s="16">
        <v>0</v>
      </c>
      <c r="M30" s="14">
        <v>0</v>
      </c>
      <c r="N30" s="16">
        <v>0</v>
      </c>
      <c r="O30" s="14">
        <v>0</v>
      </c>
      <c r="P30" s="16">
        <v>0</v>
      </c>
      <c r="Q30" s="14">
        <v>0</v>
      </c>
      <c r="R30" s="16">
        <v>0</v>
      </c>
    </row>
    <row r="31" spans="1:18" x14ac:dyDescent="0.25">
      <c r="A31" s="11" t="s">
        <v>164</v>
      </c>
      <c r="B31" s="13">
        <v>2706</v>
      </c>
      <c r="C31" s="14">
        <f>(2279/B31*100)</f>
        <v>84.220251293422024</v>
      </c>
      <c r="D31" s="15">
        <v>427</v>
      </c>
      <c r="E31" s="14">
        <v>12.222621869999999</v>
      </c>
      <c r="F31" s="16">
        <v>1.6598210099999999</v>
      </c>
      <c r="G31" s="14">
        <v>87.777378130000002</v>
      </c>
      <c r="H31" s="16">
        <v>1.6598210099999999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(3129/B33*100)</f>
        <v>85.702547247329491</v>
      </c>
      <c r="D33" s="15">
        <v>522</v>
      </c>
      <c r="E33" s="14">
        <v>10.419004080000001</v>
      </c>
      <c r="F33" s="16">
        <v>1.2649767999999999</v>
      </c>
      <c r="G33" s="14">
        <v>89.580995920000007</v>
      </c>
      <c r="H33" s="16">
        <v>1.2649767999999999</v>
      </c>
      <c r="I33" s="14" t="s">
        <v>139</v>
      </c>
      <c r="J33" s="16" t="s">
        <v>139</v>
      </c>
      <c r="K33" s="14">
        <v>0</v>
      </c>
      <c r="L33" s="16">
        <v>0</v>
      </c>
      <c r="M33" s="14">
        <v>0</v>
      </c>
      <c r="N33" s="16">
        <v>0</v>
      </c>
      <c r="O33" s="14">
        <v>0</v>
      </c>
      <c r="P33" s="16">
        <v>0</v>
      </c>
      <c r="Q33" s="14">
        <v>0</v>
      </c>
      <c r="R33" s="16">
        <v>0</v>
      </c>
    </row>
    <row r="34" spans="1:18" x14ac:dyDescent="0.25">
      <c r="A34" s="11" t="s">
        <v>167</v>
      </c>
      <c r="B34" s="13">
        <v>3035</v>
      </c>
      <c r="C34" s="14">
        <f>(2594/B34*100)</f>
        <v>85.469522240527183</v>
      </c>
      <c r="D34" s="15">
        <v>441</v>
      </c>
      <c r="E34" s="14">
        <v>10.468517930000001</v>
      </c>
      <c r="F34" s="16">
        <v>1.3751122499999999</v>
      </c>
      <c r="G34" s="14">
        <v>89.531482069999996</v>
      </c>
      <c r="H34" s="16">
        <v>1.3751122499999999</v>
      </c>
      <c r="I34" s="14" t="s">
        <v>139</v>
      </c>
      <c r="J34" s="16" t="s">
        <v>139</v>
      </c>
      <c r="K34" s="14">
        <v>0</v>
      </c>
      <c r="L34" s="16">
        <v>0</v>
      </c>
      <c r="M34" s="14">
        <v>0</v>
      </c>
      <c r="N34" s="16">
        <v>0</v>
      </c>
      <c r="O34" s="14">
        <v>0</v>
      </c>
      <c r="P34" s="16">
        <v>0</v>
      </c>
      <c r="Q34" s="14">
        <v>0</v>
      </c>
      <c r="R34" s="16">
        <v>0</v>
      </c>
    </row>
    <row r="35" spans="1:18" x14ac:dyDescent="0.25">
      <c r="A35" s="11" t="s">
        <v>168</v>
      </c>
      <c r="B35" s="13">
        <v>2901</v>
      </c>
      <c r="C35" s="14">
        <f>(2436/B35*100)</f>
        <v>83.971044467425031</v>
      </c>
      <c r="D35" s="15">
        <v>465</v>
      </c>
      <c r="E35" s="14">
        <v>4.3771698399999996</v>
      </c>
      <c r="F35" s="16">
        <v>1.0891765099999999</v>
      </c>
      <c r="G35" s="14">
        <v>95.622830160000007</v>
      </c>
      <c r="H35" s="16">
        <v>1.0891765099999999</v>
      </c>
      <c r="I35" s="14" t="s">
        <v>139</v>
      </c>
      <c r="J35" s="16" t="s">
        <v>139</v>
      </c>
      <c r="K35" s="14">
        <v>0</v>
      </c>
      <c r="L35" s="16">
        <v>0</v>
      </c>
      <c r="M35" s="14">
        <v>0</v>
      </c>
      <c r="N35" s="16">
        <v>0</v>
      </c>
      <c r="O35" s="14">
        <v>0</v>
      </c>
      <c r="P35" s="16">
        <v>0</v>
      </c>
      <c r="Q35" s="14">
        <v>0</v>
      </c>
      <c r="R35" s="16">
        <v>0</v>
      </c>
    </row>
    <row r="36" spans="1:18" x14ac:dyDescent="0.25">
      <c r="A36" s="11" t="s">
        <v>169</v>
      </c>
      <c r="B36" s="13">
        <v>3404</v>
      </c>
      <c r="C36" s="14">
        <f>(2906/B36*100)</f>
        <v>85.370152761457106</v>
      </c>
      <c r="D36" s="15">
        <v>498</v>
      </c>
      <c r="E36" s="14">
        <v>6.0347000800000004</v>
      </c>
      <c r="F36" s="16">
        <v>0.86124577000000002</v>
      </c>
      <c r="G36" s="14">
        <v>93.965299920000007</v>
      </c>
      <c r="H36" s="16">
        <v>0.86124577000000002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(2333/B37*100)</f>
        <v>85.426583668985728</v>
      </c>
      <c r="D37" s="15">
        <v>398</v>
      </c>
      <c r="E37" s="14">
        <v>11.25390054</v>
      </c>
      <c r="F37" s="16">
        <v>1.4616278300000001</v>
      </c>
      <c r="G37" s="14">
        <v>88.746099459999996</v>
      </c>
      <c r="H37" s="16">
        <v>1.4616278300000001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(2422/B39*100)</f>
        <v>82.437031994554118</v>
      </c>
      <c r="D39" s="15">
        <v>516</v>
      </c>
      <c r="E39" s="14">
        <v>13.510774250000001</v>
      </c>
      <c r="F39" s="16">
        <v>1.6842819</v>
      </c>
      <c r="G39" s="14">
        <v>86.489225750000003</v>
      </c>
      <c r="H39" s="16">
        <v>1.6842819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(5778/B40*100)</f>
        <v>83.472984686506791</v>
      </c>
      <c r="D40" s="15">
        <v>1144</v>
      </c>
      <c r="E40" s="14">
        <v>13.14422734</v>
      </c>
      <c r="F40" s="16">
        <v>1.40297998</v>
      </c>
      <c r="G40" s="14">
        <v>86.85577266</v>
      </c>
      <c r="H40" s="16">
        <v>1.40297998</v>
      </c>
      <c r="I40" s="14" t="s">
        <v>139</v>
      </c>
      <c r="J40" s="16" t="s">
        <v>139</v>
      </c>
      <c r="K40" s="14">
        <v>0</v>
      </c>
      <c r="L40" s="16">
        <v>0</v>
      </c>
      <c r="M40" s="14">
        <v>0</v>
      </c>
      <c r="N40" s="16">
        <v>0</v>
      </c>
      <c r="O40" s="14">
        <v>0</v>
      </c>
      <c r="P40" s="16">
        <v>0</v>
      </c>
      <c r="Q40" s="14">
        <v>0</v>
      </c>
      <c r="R40" s="16">
        <v>0</v>
      </c>
    </row>
    <row r="41" spans="1:18" x14ac:dyDescent="0.25">
      <c r="A41" s="11" t="s">
        <v>174</v>
      </c>
      <c r="B41" s="13">
        <v>2854</v>
      </c>
      <c r="C41" s="14">
        <f>(2397/B41*100)</f>
        <v>83.987386124737213</v>
      </c>
      <c r="D41" s="15">
        <v>457</v>
      </c>
      <c r="E41" s="14">
        <v>9.2014683099999992</v>
      </c>
      <c r="F41" s="16">
        <v>1.19064014</v>
      </c>
      <c r="G41" s="14">
        <v>90.798531690000004</v>
      </c>
      <c r="H41" s="16">
        <v>1.19064014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84.4120956548538</v>
      </c>
      <c r="D42" s="15">
        <f>IF(COUNT(D7:D41) &gt; 0, AVERAGE(D7:D41), "—")</f>
        <v>564.375</v>
      </c>
      <c r="E42" s="14">
        <f>IF(COUNT(E7:E41) &gt; 0, AVERAGE(E7:E41), "—")</f>
        <v>9.3880183471874989</v>
      </c>
      <c r="F42" s="16">
        <f>IF(COUNT(F7:F41) &gt; 0, SQRT(SUMSQ(F7:F41)/(COUNT(F7:F41)*COUNT(F7:F41)) ), "—")</f>
        <v>0.23743692749533984</v>
      </c>
      <c r="G42" s="14">
        <f>IF(COUNT(G7:G41) &gt; 0, AVERAGE(G7:G41), "—")</f>
        <v>90.611981652812503</v>
      </c>
      <c r="H42" s="16">
        <f>IF(COUNT(H7:H41) &gt; 0, SQRT(SUMSQ(H7:H41)/(COUNT(H7:H41)*COUNT(H7:H41)) ), "—")</f>
        <v>0.23743692749533984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(10858/B46*100)</f>
        <v>89.936221320301499</v>
      </c>
      <c r="D46" s="15">
        <v>1215</v>
      </c>
      <c r="E46" s="14">
        <v>14.753181550000001</v>
      </c>
      <c r="F46" s="16">
        <v>1.2191849800000001</v>
      </c>
      <c r="G46" s="14">
        <v>85.246818450000006</v>
      </c>
      <c r="H46" s="16">
        <v>1.2191849800000001</v>
      </c>
      <c r="I46" s="14" t="s">
        <v>139</v>
      </c>
      <c r="J46" s="16" t="s">
        <v>139</v>
      </c>
      <c r="K46" s="14">
        <v>0</v>
      </c>
      <c r="L46" s="16">
        <v>0</v>
      </c>
      <c r="M46" s="14">
        <v>0</v>
      </c>
      <c r="N46" s="16">
        <v>0</v>
      </c>
      <c r="O46" s="14">
        <v>0</v>
      </c>
      <c r="P46" s="16">
        <v>0</v>
      </c>
      <c r="Q46" s="14">
        <v>0</v>
      </c>
      <c r="R46" s="16">
        <v>0</v>
      </c>
    </row>
    <row r="47" spans="1:18" x14ac:dyDescent="0.25">
      <c r="A47" s="11" t="s">
        <v>180</v>
      </c>
      <c r="B47" s="13">
        <v>2823</v>
      </c>
      <c r="C47" s="14">
        <f>(2394/B47*100)</f>
        <v>84.803400637619546</v>
      </c>
      <c r="D47" s="15">
        <v>429</v>
      </c>
      <c r="E47" s="14">
        <v>12.6366628</v>
      </c>
      <c r="F47" s="16">
        <v>1.8312415200000001</v>
      </c>
      <c r="G47" s="14">
        <v>87.363337200000004</v>
      </c>
      <c r="H47" s="16">
        <v>1.8312415200000001</v>
      </c>
      <c r="I47" s="14" t="s">
        <v>139</v>
      </c>
      <c r="J47" s="16" t="s">
        <v>139</v>
      </c>
      <c r="K47" s="14">
        <v>0</v>
      </c>
      <c r="L47" s="16">
        <v>0</v>
      </c>
      <c r="M47" s="14">
        <v>0</v>
      </c>
      <c r="N47" s="16">
        <v>0</v>
      </c>
      <c r="O47" s="14">
        <v>0</v>
      </c>
      <c r="P47" s="16">
        <v>0</v>
      </c>
      <c r="Q47" s="14">
        <v>0</v>
      </c>
      <c r="R47" s="16">
        <v>0</v>
      </c>
    </row>
    <row r="48" spans="1:18" x14ac:dyDescent="0.25">
      <c r="A48" s="11" t="s">
        <v>181</v>
      </c>
      <c r="B48" s="13">
        <v>4682</v>
      </c>
      <c r="C48" s="14">
        <f>(3914/B48*100)</f>
        <v>83.596753524134982</v>
      </c>
      <c r="D48" s="15">
        <v>768</v>
      </c>
      <c r="E48" s="14">
        <v>9.0174042199999995</v>
      </c>
      <c r="F48" s="16">
        <v>1.29948771</v>
      </c>
      <c r="G48" s="14">
        <v>90.982595779999997</v>
      </c>
      <c r="H48" s="16">
        <v>1.29948771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(5269/B50*100)</f>
        <v>85.563494641117245</v>
      </c>
      <c r="D50" s="15">
        <v>889</v>
      </c>
      <c r="E50" s="14">
        <v>14.684210159999999</v>
      </c>
      <c r="F50" s="16">
        <v>1.55156162</v>
      </c>
      <c r="G50" s="14">
        <v>85.315789839999994</v>
      </c>
      <c r="H50" s="16">
        <v>1.55156162</v>
      </c>
      <c r="I50" s="14" t="s">
        <v>139</v>
      </c>
      <c r="J50" s="16" t="s">
        <v>139</v>
      </c>
      <c r="K50" s="14">
        <v>0</v>
      </c>
      <c r="L50" s="16">
        <v>0</v>
      </c>
      <c r="M50" s="14">
        <v>0</v>
      </c>
      <c r="N50" s="16">
        <v>0</v>
      </c>
      <c r="O50" s="14">
        <v>0</v>
      </c>
      <c r="P50" s="16">
        <v>0</v>
      </c>
      <c r="Q50" s="14">
        <v>0</v>
      </c>
      <c r="R50" s="16">
        <v>0</v>
      </c>
    </row>
    <row r="51" spans="1:18" x14ac:dyDescent="0.25">
      <c r="A51" s="11" t="s">
        <v>184</v>
      </c>
      <c r="B51" s="13">
        <v>3494</v>
      </c>
      <c r="C51" s="14">
        <f>(3057/B51*100)</f>
        <v>87.492844876931883</v>
      </c>
      <c r="D51" s="15">
        <v>437</v>
      </c>
      <c r="E51" s="14">
        <v>8.2036521400000009</v>
      </c>
      <c r="F51" s="16">
        <v>1.27649222</v>
      </c>
      <c r="G51" s="14">
        <v>91.796347859999997</v>
      </c>
      <c r="H51" s="16">
        <v>1.27649222</v>
      </c>
      <c r="I51" s="14" t="s">
        <v>139</v>
      </c>
      <c r="J51" s="16" t="s">
        <v>139</v>
      </c>
      <c r="K51" s="14">
        <v>0</v>
      </c>
      <c r="L51" s="16">
        <v>0</v>
      </c>
      <c r="M51" s="14">
        <v>0</v>
      </c>
      <c r="N51" s="16">
        <v>0</v>
      </c>
      <c r="O51" s="14">
        <v>0</v>
      </c>
      <c r="P51" s="16">
        <v>0</v>
      </c>
      <c r="Q51" s="14">
        <v>0</v>
      </c>
      <c r="R51" s="16">
        <v>0</v>
      </c>
    </row>
    <row r="52" spans="1:18" x14ac:dyDescent="0.25">
      <c r="A52" s="11" t="s">
        <v>185</v>
      </c>
      <c r="B52" s="13">
        <v>3013</v>
      </c>
      <c r="C52" s="14">
        <f>(2516/B52*100)</f>
        <v>83.504812479256557</v>
      </c>
      <c r="D52" s="15">
        <v>497</v>
      </c>
      <c r="E52" s="14">
        <v>10.673914740000001</v>
      </c>
      <c r="F52" s="16">
        <v>1.3887759399999999</v>
      </c>
      <c r="G52" s="14">
        <v>89.326085259999999</v>
      </c>
      <c r="H52" s="16">
        <v>1.3887759399999999</v>
      </c>
      <c r="I52" s="14" t="s">
        <v>139</v>
      </c>
      <c r="J52" s="16" t="s">
        <v>139</v>
      </c>
      <c r="K52" s="14">
        <v>0</v>
      </c>
      <c r="L52" s="16">
        <v>0</v>
      </c>
      <c r="M52" s="14">
        <v>0</v>
      </c>
      <c r="N52" s="16">
        <v>0</v>
      </c>
      <c r="O52" s="14">
        <v>0</v>
      </c>
      <c r="P52" s="16">
        <v>0</v>
      </c>
      <c r="Q52" s="14">
        <v>0</v>
      </c>
      <c r="R52" s="16">
        <v>0</v>
      </c>
    </row>
    <row r="53" spans="1:18" x14ac:dyDescent="0.25">
      <c r="A53" s="11" t="s">
        <v>186</v>
      </c>
      <c r="B53" s="13">
        <v>2760</v>
      </c>
      <c r="C53" s="14">
        <f>(2355/B53*100)</f>
        <v>85.326086956521735</v>
      </c>
      <c r="D53" s="15">
        <v>405</v>
      </c>
      <c r="E53" s="14">
        <v>15.869900380000001</v>
      </c>
      <c r="F53" s="16">
        <v>1.6624556399999999</v>
      </c>
      <c r="G53" s="14">
        <v>84.130099619999996</v>
      </c>
      <c r="H53" s="16">
        <v>1.6624556399999999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(2213/B56*100)</f>
        <v>82.728971962616825</v>
      </c>
      <c r="D56" s="15">
        <v>462</v>
      </c>
      <c r="E56" s="14">
        <v>7.2005173999999998</v>
      </c>
      <c r="F56" s="16">
        <v>1.01118967</v>
      </c>
      <c r="G56" s="14">
        <v>92.799482600000005</v>
      </c>
      <c r="H56" s="16">
        <v>1.01118967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(2681/B61*100)</f>
        <v>83.75507653858169</v>
      </c>
      <c r="D61" s="15">
        <v>520</v>
      </c>
      <c r="E61" s="14">
        <v>9.6735684400000004</v>
      </c>
      <c r="F61" s="16">
        <v>1.5123221099999999</v>
      </c>
      <c r="G61" s="14">
        <v>90.326431560000003</v>
      </c>
      <c r="H61" s="16">
        <v>1.5123221099999999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(1886/B62*100)</f>
        <v>84.573991031390136</v>
      </c>
      <c r="D62" s="15">
        <v>344</v>
      </c>
      <c r="E62" s="14">
        <v>6.1419710199999997</v>
      </c>
      <c r="F62" s="16">
        <v>1.1096783800000001</v>
      </c>
      <c r="G62" s="14">
        <v>93.85802898</v>
      </c>
      <c r="H62" s="16">
        <v>1.1096783800000001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(2340/B66*100)</f>
        <v>84.446048357993504</v>
      </c>
      <c r="D66" s="15">
        <v>431</v>
      </c>
      <c r="E66" s="14">
        <v>13.34272312</v>
      </c>
      <c r="F66" s="16">
        <v>1.5162520500000001</v>
      </c>
      <c r="G66" s="14">
        <v>86.657276879999998</v>
      </c>
      <c r="H66" s="16">
        <v>1.5162520500000001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(3054/B67*100)</f>
        <v>88.265895953757223</v>
      </c>
      <c r="D67" s="15">
        <v>406</v>
      </c>
      <c r="E67" s="14">
        <v>15.37599986</v>
      </c>
      <c r="F67" s="16">
        <v>1.94143987</v>
      </c>
      <c r="G67" s="14">
        <v>84.624000140000007</v>
      </c>
      <c r="H67" s="16">
        <v>1.94143987</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(2622/B70*100)</f>
        <v>84.390086900547161</v>
      </c>
      <c r="D70" s="15">
        <v>485</v>
      </c>
      <c r="E70" s="14">
        <v>12.90062786</v>
      </c>
      <c r="F70" s="16">
        <v>2.1438139000000001</v>
      </c>
      <c r="G70" s="14">
        <v>87.09937214</v>
      </c>
      <c r="H70" s="16">
        <v>2.1438139000000001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(3163/B72*100)</f>
        <v>82.822728462948419</v>
      </c>
      <c r="D72" s="15">
        <v>656</v>
      </c>
      <c r="E72" s="14">
        <v>10.93642374</v>
      </c>
      <c r="F72" s="16">
        <v>1.35199045</v>
      </c>
      <c r="G72" s="14">
        <v>89.063576260000005</v>
      </c>
      <c r="H72" s="16">
        <v>1.35199045</v>
      </c>
      <c r="I72" s="14" t="s">
        <v>139</v>
      </c>
      <c r="J72" s="16" t="s">
        <v>139</v>
      </c>
      <c r="K72" s="14">
        <v>0</v>
      </c>
      <c r="L72" s="16">
        <v>0</v>
      </c>
      <c r="M72" s="14">
        <v>0</v>
      </c>
      <c r="N72" s="16">
        <v>0</v>
      </c>
      <c r="O72" s="14">
        <v>0</v>
      </c>
      <c r="P72" s="16">
        <v>0</v>
      </c>
      <c r="Q72" s="14">
        <v>0</v>
      </c>
      <c r="R72" s="16">
        <v>0</v>
      </c>
    </row>
    <row r="73" spans="1:18" x14ac:dyDescent="0.25">
      <c r="A73" s="11" t="s">
        <v>206</v>
      </c>
      <c r="B73" s="13">
        <v>4652</v>
      </c>
      <c r="C73" s="14">
        <f>(4002/B73*100)</f>
        <v>86.027515047291487</v>
      </c>
      <c r="D73" s="15">
        <v>650</v>
      </c>
      <c r="E73" s="14">
        <v>14.46067828</v>
      </c>
      <c r="F73" s="16">
        <v>1.70167935</v>
      </c>
      <c r="G73" s="14">
        <v>85.539321720000004</v>
      </c>
      <c r="H73" s="16">
        <v>1.70167935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(2554/B75*100)</f>
        <v>86.022229706972041</v>
      </c>
      <c r="D75" s="15">
        <v>415</v>
      </c>
      <c r="E75" s="14">
        <v>21.116258049999999</v>
      </c>
      <c r="F75" s="16">
        <v>2.2501364800000001</v>
      </c>
      <c r="G75" s="14">
        <v>78.883741950000001</v>
      </c>
      <c r="H75" s="16">
        <v>2.2501364800000001</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(5930/B76*100)</f>
        <v>83.345045678144771</v>
      </c>
      <c r="D76" s="15">
        <v>1185</v>
      </c>
      <c r="E76" s="14">
        <v>10.52917341</v>
      </c>
      <c r="F76" s="16">
        <v>1.17305226</v>
      </c>
      <c r="G76" s="14">
        <v>89.470826590000001</v>
      </c>
      <c r="H76" s="16">
        <v>1.17305226</v>
      </c>
      <c r="I76" s="14" t="s">
        <v>139</v>
      </c>
      <c r="J76" s="16" t="s">
        <v>139</v>
      </c>
      <c r="K76" s="14">
        <v>0</v>
      </c>
      <c r="L76" s="16">
        <v>0</v>
      </c>
      <c r="M76" s="14">
        <v>0</v>
      </c>
      <c r="N76" s="16">
        <v>0</v>
      </c>
      <c r="O76" s="14">
        <v>0</v>
      </c>
      <c r="P76" s="16">
        <v>0</v>
      </c>
      <c r="Q76" s="14">
        <v>0</v>
      </c>
      <c r="R76" s="16">
        <v>0</v>
      </c>
    </row>
    <row r="77" spans="1:18" x14ac:dyDescent="0.25">
      <c r="A77" s="11" t="s">
        <v>210</v>
      </c>
      <c r="B77" s="13">
        <v>3154</v>
      </c>
      <c r="C77" s="14">
        <f>(2698/B77*100)</f>
        <v>85.542168674698786</v>
      </c>
      <c r="D77" s="15">
        <v>456</v>
      </c>
      <c r="E77" s="14">
        <v>8.9859249800000001</v>
      </c>
      <c r="F77" s="16">
        <v>1.5592292299999999</v>
      </c>
      <c r="G77" s="14">
        <v>91.014075020000007</v>
      </c>
      <c r="H77" s="16">
        <v>1.5592292299999999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(3928/B81*100)</f>
        <v>83.610046828437632</v>
      </c>
      <c r="D81" s="15">
        <v>770</v>
      </c>
      <c r="E81" s="14">
        <v>7.7762593500000001</v>
      </c>
      <c r="F81" s="16">
        <v>1.77792616</v>
      </c>
      <c r="G81" s="14">
        <v>92.223740649999996</v>
      </c>
      <c r="H81" s="16">
        <v>1.77792616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7163</v>
      </c>
      <c r="C7" s="14">
        <f>(6066/B7*100)</f>
        <v>84.685187770487218</v>
      </c>
      <c r="D7" s="15">
        <v>1097</v>
      </c>
      <c r="E7" s="14">
        <v>70.850653429999994</v>
      </c>
      <c r="F7" s="16">
        <v>1.8873846400000001</v>
      </c>
      <c r="G7" s="14">
        <v>29.149346569999999</v>
      </c>
      <c r="H7" s="16">
        <v>1.8873846400000001</v>
      </c>
      <c r="I7" s="14" t="s">
        <v>139</v>
      </c>
      <c r="J7" s="16" t="s">
        <v>139</v>
      </c>
      <c r="K7" s="14">
        <v>0</v>
      </c>
      <c r="L7" s="16">
        <v>0</v>
      </c>
      <c r="M7" s="14">
        <v>0</v>
      </c>
      <c r="N7" s="16">
        <v>0</v>
      </c>
      <c r="O7" s="14">
        <v>0</v>
      </c>
      <c r="P7" s="16">
        <v>0</v>
      </c>
      <c r="Q7" s="14">
        <v>0</v>
      </c>
      <c r="R7" s="16">
        <v>0</v>
      </c>
    </row>
    <row r="8" spans="1:18" x14ac:dyDescent="0.25">
      <c r="A8" s="11" t="s">
        <v>140</v>
      </c>
      <c r="B8" s="13">
        <v>3443</v>
      </c>
      <c r="C8" s="14">
        <f>(2889/B8*100)</f>
        <v>83.90938135347082</v>
      </c>
      <c r="D8" s="15">
        <v>554</v>
      </c>
      <c r="E8" s="14">
        <v>62.817241520000003</v>
      </c>
      <c r="F8" s="16">
        <v>2.0624280399999999</v>
      </c>
      <c r="G8" s="14">
        <v>37.182758479999997</v>
      </c>
      <c r="H8" s="16">
        <v>2.0624280399999999</v>
      </c>
      <c r="I8" s="14" t="s">
        <v>139</v>
      </c>
      <c r="J8" s="16" t="s">
        <v>139</v>
      </c>
      <c r="K8" s="14">
        <v>0</v>
      </c>
      <c r="L8" s="16">
        <v>0</v>
      </c>
      <c r="M8" s="14">
        <v>0</v>
      </c>
      <c r="N8" s="16">
        <v>0</v>
      </c>
      <c r="O8" s="14">
        <v>0</v>
      </c>
      <c r="P8" s="16">
        <v>0</v>
      </c>
      <c r="Q8" s="14">
        <v>0</v>
      </c>
      <c r="R8" s="16">
        <v>0</v>
      </c>
    </row>
    <row r="9" spans="1:18" x14ac:dyDescent="0.25">
      <c r="A9" s="11" t="s">
        <v>141</v>
      </c>
      <c r="B9" s="13">
        <v>4752</v>
      </c>
      <c r="C9" s="14">
        <f>(4069/B9*100)</f>
        <v>85.627104377104374</v>
      </c>
      <c r="D9" s="15">
        <v>683</v>
      </c>
      <c r="E9" s="14">
        <v>63.965810150000003</v>
      </c>
      <c r="F9" s="16">
        <v>1.9042528599999999</v>
      </c>
      <c r="G9" s="14">
        <v>36.034189849999997</v>
      </c>
      <c r="H9" s="16">
        <v>1.9042528599999999</v>
      </c>
      <c r="I9" s="14" t="s">
        <v>139</v>
      </c>
      <c r="J9" s="16" t="s">
        <v>139</v>
      </c>
      <c r="K9" s="14">
        <v>0</v>
      </c>
      <c r="L9" s="16">
        <v>0</v>
      </c>
      <c r="M9" s="14">
        <v>0</v>
      </c>
      <c r="N9" s="16">
        <v>0</v>
      </c>
      <c r="O9" s="14">
        <v>0</v>
      </c>
      <c r="P9" s="16">
        <v>0</v>
      </c>
      <c r="Q9" s="14">
        <v>0</v>
      </c>
      <c r="R9" s="16">
        <v>0</v>
      </c>
    </row>
    <row r="10" spans="1:18" x14ac:dyDescent="0.25">
      <c r="A10" s="11" t="s">
        <v>142</v>
      </c>
      <c r="B10" s="13">
        <v>10022</v>
      </c>
      <c r="C10" s="14">
        <f>(8395/B10*100)</f>
        <v>83.765715426062656</v>
      </c>
      <c r="D10" s="15">
        <v>1627</v>
      </c>
      <c r="E10" s="14">
        <v>68.246962629999999</v>
      </c>
      <c r="F10" s="16">
        <v>1.74050153</v>
      </c>
      <c r="G10" s="14">
        <v>31.753037370000001</v>
      </c>
      <c r="H10" s="16">
        <v>1.74050153</v>
      </c>
      <c r="I10" s="14" t="s">
        <v>139</v>
      </c>
      <c r="J10" s="16" t="s">
        <v>139</v>
      </c>
      <c r="K10" s="14">
        <v>0</v>
      </c>
      <c r="L10" s="16">
        <v>0</v>
      </c>
      <c r="M10" s="14">
        <v>0</v>
      </c>
      <c r="N10" s="16">
        <v>0</v>
      </c>
      <c r="O10" s="14">
        <v>0</v>
      </c>
      <c r="P10" s="16">
        <v>0</v>
      </c>
      <c r="Q10" s="14">
        <v>0</v>
      </c>
      <c r="R10" s="16">
        <v>0</v>
      </c>
    </row>
    <row r="11" spans="1:18" x14ac:dyDescent="0.25">
      <c r="A11" s="11" t="s">
        <v>143</v>
      </c>
      <c r="B11" s="13">
        <v>3500</v>
      </c>
      <c r="C11" s="14">
        <f>(2995/B11*100)</f>
        <v>85.571428571428569</v>
      </c>
      <c r="D11" s="15">
        <v>505</v>
      </c>
      <c r="E11" s="14">
        <v>79.884704639999995</v>
      </c>
      <c r="F11" s="16">
        <v>2.1896560100000002</v>
      </c>
      <c r="G11" s="14">
        <v>20.115295360000001</v>
      </c>
      <c r="H11" s="16">
        <v>2.1896560100000002</v>
      </c>
      <c r="I11" s="14" t="s">
        <v>139</v>
      </c>
      <c r="J11" s="16" t="s">
        <v>139</v>
      </c>
      <c r="K11" s="14">
        <v>0</v>
      </c>
      <c r="L11" s="16">
        <v>0</v>
      </c>
      <c r="M11" s="14">
        <v>0</v>
      </c>
      <c r="N11" s="16">
        <v>0</v>
      </c>
      <c r="O11" s="14">
        <v>0</v>
      </c>
      <c r="P11" s="16">
        <v>0</v>
      </c>
      <c r="Q11" s="14">
        <v>0</v>
      </c>
      <c r="R11" s="16">
        <v>0</v>
      </c>
    </row>
    <row r="12" spans="1:18" x14ac:dyDescent="0.25">
      <c r="A12" s="11" t="s">
        <v>144</v>
      </c>
      <c r="B12" s="13">
        <v>3422</v>
      </c>
      <c r="C12" s="14">
        <f>(2936/B12*100)</f>
        <v>85.797779076563415</v>
      </c>
      <c r="D12" s="15">
        <v>486</v>
      </c>
      <c r="E12" s="14">
        <v>66.045157259999996</v>
      </c>
      <c r="F12" s="16">
        <v>1.9620852900000001</v>
      </c>
      <c r="G12" s="14">
        <v>33.954842739999997</v>
      </c>
      <c r="H12" s="16">
        <v>1.9620852900000001</v>
      </c>
      <c r="I12" s="14" t="s">
        <v>139</v>
      </c>
      <c r="J12" s="16" t="s">
        <v>139</v>
      </c>
      <c r="K12" s="14">
        <v>0</v>
      </c>
      <c r="L12" s="16">
        <v>0</v>
      </c>
      <c r="M12" s="14">
        <v>0</v>
      </c>
      <c r="N12" s="16">
        <v>0</v>
      </c>
      <c r="O12" s="14">
        <v>0</v>
      </c>
      <c r="P12" s="16">
        <v>0</v>
      </c>
      <c r="Q12" s="14">
        <v>0</v>
      </c>
      <c r="R12" s="16">
        <v>0</v>
      </c>
    </row>
    <row r="13" spans="1:18" x14ac:dyDescent="0.25">
      <c r="A13" s="11" t="s">
        <v>145</v>
      </c>
      <c r="B13" s="13">
        <v>3602</v>
      </c>
      <c r="C13" s="14">
        <f>(3072/B13*100)</f>
        <v>85.285952248750689</v>
      </c>
      <c r="D13" s="15">
        <v>530</v>
      </c>
      <c r="E13" s="14">
        <v>61.403754890000002</v>
      </c>
      <c r="F13" s="16">
        <v>2.2031454300000002</v>
      </c>
      <c r="G13" s="14">
        <v>38.596245109999998</v>
      </c>
      <c r="H13" s="16">
        <v>2.2031454300000002</v>
      </c>
      <c r="I13" s="14" t="s">
        <v>139</v>
      </c>
      <c r="J13" s="16" t="s">
        <v>139</v>
      </c>
      <c r="K13" s="14">
        <v>0</v>
      </c>
      <c r="L13" s="16">
        <v>0</v>
      </c>
      <c r="M13" s="14">
        <v>0</v>
      </c>
      <c r="N13" s="16">
        <v>0</v>
      </c>
      <c r="O13" s="14">
        <v>0</v>
      </c>
      <c r="P13" s="16">
        <v>0</v>
      </c>
      <c r="Q13" s="14">
        <v>0</v>
      </c>
      <c r="R13" s="16">
        <v>0</v>
      </c>
    </row>
    <row r="14" spans="1:18" x14ac:dyDescent="0.25">
      <c r="A14" s="11" t="s">
        <v>146</v>
      </c>
      <c r="B14" s="13">
        <v>2788</v>
      </c>
      <c r="C14" s="14">
        <f>(2338/B14*100)</f>
        <v>83.859397417503587</v>
      </c>
      <c r="D14" s="15">
        <v>450</v>
      </c>
      <c r="E14" s="14">
        <v>50.756736570000001</v>
      </c>
      <c r="F14" s="16">
        <v>2.65918571</v>
      </c>
      <c r="G14" s="14">
        <v>49.243263429999999</v>
      </c>
      <c r="H14" s="16">
        <v>2.65918571</v>
      </c>
      <c r="I14" s="14" t="s">
        <v>139</v>
      </c>
      <c r="J14" s="16" t="s">
        <v>139</v>
      </c>
      <c r="K14" s="14">
        <v>0</v>
      </c>
      <c r="L14" s="16">
        <v>0</v>
      </c>
      <c r="M14" s="14">
        <v>0</v>
      </c>
      <c r="N14" s="16">
        <v>0</v>
      </c>
      <c r="O14" s="14">
        <v>0</v>
      </c>
      <c r="P14" s="16">
        <v>0</v>
      </c>
      <c r="Q14" s="14">
        <v>0</v>
      </c>
      <c r="R14" s="16">
        <v>0</v>
      </c>
    </row>
    <row r="15" spans="1:18" x14ac:dyDescent="0.25">
      <c r="A15" s="11" t="s">
        <v>147</v>
      </c>
      <c r="B15" s="13">
        <v>2863</v>
      </c>
      <c r="C15" s="14">
        <f>(2401/B15*100)</f>
        <v>83.863080684596582</v>
      </c>
      <c r="D15" s="15">
        <v>462</v>
      </c>
      <c r="E15" s="14">
        <v>59.298072019999999</v>
      </c>
      <c r="F15" s="16">
        <v>2.20450167</v>
      </c>
      <c r="G15" s="14">
        <v>40.701927980000001</v>
      </c>
      <c r="H15" s="16">
        <v>2.20450167</v>
      </c>
      <c r="I15" s="14" t="s">
        <v>139</v>
      </c>
      <c r="J15" s="16" t="s">
        <v>139</v>
      </c>
      <c r="K15" s="14">
        <v>0</v>
      </c>
      <c r="L15" s="16">
        <v>0</v>
      </c>
      <c r="M15" s="14">
        <v>0</v>
      </c>
      <c r="N15" s="16">
        <v>0</v>
      </c>
      <c r="O15" s="14">
        <v>0</v>
      </c>
      <c r="P15" s="16">
        <v>0</v>
      </c>
      <c r="Q15" s="14">
        <v>0</v>
      </c>
      <c r="R15" s="16">
        <v>0</v>
      </c>
    </row>
    <row r="16" spans="1:18" x14ac:dyDescent="0.25">
      <c r="A16" s="11" t="s">
        <v>148</v>
      </c>
      <c r="B16" s="13">
        <v>3111</v>
      </c>
      <c r="C16" s="14">
        <f>(2623/B16*100)</f>
        <v>84.313725490196077</v>
      </c>
      <c r="D16" s="15">
        <v>488</v>
      </c>
      <c r="E16" s="14">
        <v>74.935169779999995</v>
      </c>
      <c r="F16" s="16">
        <v>1.86677198</v>
      </c>
      <c r="G16" s="14">
        <v>25.064830220000001</v>
      </c>
      <c r="H16" s="16">
        <v>1.86677198</v>
      </c>
      <c r="I16" s="14" t="s">
        <v>139</v>
      </c>
      <c r="J16" s="16" t="s">
        <v>139</v>
      </c>
      <c r="K16" s="14">
        <v>0</v>
      </c>
      <c r="L16" s="16">
        <v>0</v>
      </c>
      <c r="M16" s="14">
        <v>0</v>
      </c>
      <c r="N16" s="16">
        <v>0</v>
      </c>
      <c r="O16" s="14">
        <v>0</v>
      </c>
      <c r="P16" s="16">
        <v>0</v>
      </c>
      <c r="Q16" s="14">
        <v>0</v>
      </c>
      <c r="R16" s="16">
        <v>0</v>
      </c>
    </row>
    <row r="17" spans="1:18" x14ac:dyDescent="0.25">
      <c r="A17" s="11" t="s">
        <v>149</v>
      </c>
      <c r="B17" s="13">
        <v>3197</v>
      </c>
      <c r="C17" s="14">
        <f>(2688/B17*100)</f>
        <v>84.078823897403822</v>
      </c>
      <c r="D17" s="15">
        <v>509</v>
      </c>
      <c r="E17" s="14">
        <v>64.417104370000004</v>
      </c>
      <c r="F17" s="16">
        <v>2.2414521299999999</v>
      </c>
      <c r="G17" s="14">
        <v>35.582895630000003</v>
      </c>
      <c r="H17" s="16">
        <v>2.2414521299999999</v>
      </c>
      <c r="I17" s="14" t="s">
        <v>139</v>
      </c>
      <c r="J17" s="16" t="s">
        <v>139</v>
      </c>
      <c r="K17" s="14">
        <v>0</v>
      </c>
      <c r="L17" s="16">
        <v>0</v>
      </c>
      <c r="M17" s="14">
        <v>0</v>
      </c>
      <c r="N17" s="16">
        <v>0</v>
      </c>
      <c r="O17" s="14">
        <v>0</v>
      </c>
      <c r="P17" s="16">
        <v>0</v>
      </c>
      <c r="Q17" s="14">
        <v>0</v>
      </c>
      <c r="R17" s="16">
        <v>0</v>
      </c>
    </row>
    <row r="18" spans="1:18" x14ac:dyDescent="0.25">
      <c r="A18" s="11" t="s">
        <v>150</v>
      </c>
      <c r="B18" s="13">
        <v>2706</v>
      </c>
      <c r="C18" s="14">
        <f>(2252/B18*100)</f>
        <v>83.222468588322258</v>
      </c>
      <c r="D18" s="15">
        <v>454</v>
      </c>
      <c r="E18" s="14">
        <v>69.967131710000004</v>
      </c>
      <c r="F18" s="16">
        <v>2.3942202699999999</v>
      </c>
      <c r="G18" s="14">
        <v>30.03286829</v>
      </c>
      <c r="H18" s="16">
        <v>2.3942202699999999</v>
      </c>
      <c r="I18" s="14" t="s">
        <v>139</v>
      </c>
      <c r="J18" s="16" t="s">
        <v>139</v>
      </c>
      <c r="K18" s="14">
        <v>0</v>
      </c>
      <c r="L18" s="16">
        <v>0</v>
      </c>
      <c r="M18" s="14">
        <v>0</v>
      </c>
      <c r="N18" s="16">
        <v>0</v>
      </c>
      <c r="O18" s="14">
        <v>0</v>
      </c>
      <c r="P18" s="16">
        <v>0</v>
      </c>
      <c r="Q18" s="14">
        <v>0</v>
      </c>
      <c r="R18" s="16">
        <v>0</v>
      </c>
    </row>
    <row r="19" spans="1:18" x14ac:dyDescent="0.25">
      <c r="A19" s="11" t="s">
        <v>151</v>
      </c>
      <c r="B19" s="13">
        <v>2850</v>
      </c>
      <c r="C19" s="14">
        <f>(2431/B19*100)</f>
        <v>85.298245614035082</v>
      </c>
      <c r="D19" s="15">
        <v>419</v>
      </c>
      <c r="E19" s="14">
        <v>72.922133340000002</v>
      </c>
      <c r="F19" s="16">
        <v>2.3553471699999999</v>
      </c>
      <c r="G19" s="14">
        <v>27.077866660000002</v>
      </c>
      <c r="H19" s="16">
        <v>2.3553471699999999</v>
      </c>
      <c r="I19" s="14" t="s">
        <v>139</v>
      </c>
      <c r="J19" s="16" t="s">
        <v>139</v>
      </c>
      <c r="K19" s="14">
        <v>0</v>
      </c>
      <c r="L19" s="16">
        <v>0</v>
      </c>
      <c r="M19" s="14">
        <v>0</v>
      </c>
      <c r="N19" s="16">
        <v>0</v>
      </c>
      <c r="O19" s="14">
        <v>0</v>
      </c>
      <c r="P19" s="16">
        <v>0</v>
      </c>
      <c r="Q19" s="14">
        <v>0</v>
      </c>
      <c r="R19" s="16">
        <v>0</v>
      </c>
    </row>
    <row r="20" spans="1:18" x14ac:dyDescent="0.25">
      <c r="A20" s="11" t="s">
        <v>152</v>
      </c>
      <c r="B20" s="13">
        <v>1741</v>
      </c>
      <c r="C20" s="14">
        <f>(1474/B20*100)</f>
        <v>84.663986214819062</v>
      </c>
      <c r="D20" s="15">
        <v>267</v>
      </c>
      <c r="E20" s="14">
        <v>58.898626219999997</v>
      </c>
      <c r="F20" s="16">
        <v>2.65933004</v>
      </c>
      <c r="G20" s="14">
        <v>41.101373780000003</v>
      </c>
      <c r="H20" s="16">
        <v>2.65933004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3667</v>
      </c>
      <c r="C22" s="14">
        <f>(3178/B22*100)</f>
        <v>86.664848650122721</v>
      </c>
      <c r="D22" s="15">
        <v>489</v>
      </c>
      <c r="E22" s="14">
        <v>67.935835650000001</v>
      </c>
      <c r="F22" s="16">
        <v>2.28080945</v>
      </c>
      <c r="G22" s="14">
        <v>32.064164349999999</v>
      </c>
      <c r="H22" s="16">
        <v>2.28080945</v>
      </c>
      <c r="I22" s="14" t="s">
        <v>139</v>
      </c>
      <c r="J22" s="16" t="s">
        <v>139</v>
      </c>
      <c r="K22" s="14">
        <v>0</v>
      </c>
      <c r="L22" s="16">
        <v>0</v>
      </c>
      <c r="M22" s="14">
        <v>0</v>
      </c>
      <c r="N22" s="16">
        <v>0</v>
      </c>
      <c r="O22" s="14">
        <v>0</v>
      </c>
      <c r="P22" s="16">
        <v>0</v>
      </c>
      <c r="Q22" s="14">
        <v>0</v>
      </c>
      <c r="R22" s="16">
        <v>0</v>
      </c>
    </row>
    <row r="23" spans="1:18" x14ac:dyDescent="0.25">
      <c r="A23" s="11" t="s">
        <v>156</v>
      </c>
      <c r="B23" s="13">
        <v>5792</v>
      </c>
      <c r="C23" s="14">
        <f>(4853/B23*100)</f>
        <v>83.787983425414367</v>
      </c>
      <c r="D23" s="15">
        <v>939</v>
      </c>
      <c r="E23" s="14">
        <v>68.206982400000001</v>
      </c>
      <c r="F23" s="16">
        <v>2.2151081800000001</v>
      </c>
      <c r="G23" s="14">
        <v>31.793017599999999</v>
      </c>
      <c r="H23" s="16">
        <v>2.2151081800000001</v>
      </c>
      <c r="I23" s="14" t="s">
        <v>139</v>
      </c>
      <c r="J23" s="16" t="s">
        <v>139</v>
      </c>
      <c r="K23" s="14">
        <v>0</v>
      </c>
      <c r="L23" s="16">
        <v>0</v>
      </c>
      <c r="M23" s="14">
        <v>0</v>
      </c>
      <c r="N23" s="16">
        <v>0</v>
      </c>
      <c r="O23" s="14">
        <v>0</v>
      </c>
      <c r="P23" s="16">
        <v>0</v>
      </c>
      <c r="Q23" s="14">
        <v>0</v>
      </c>
      <c r="R23" s="16">
        <v>0</v>
      </c>
    </row>
    <row r="24" spans="1:18" x14ac:dyDescent="0.25">
      <c r="A24" s="11" t="s">
        <v>157</v>
      </c>
      <c r="B24" s="13">
        <v>3309</v>
      </c>
      <c r="C24" s="14">
        <f>(2765/B24*100)</f>
        <v>83.559987911755812</v>
      </c>
      <c r="D24" s="15">
        <v>544</v>
      </c>
      <c r="E24" s="14">
        <v>57.138613069999998</v>
      </c>
      <c r="F24" s="16">
        <v>2.3349837899999999</v>
      </c>
      <c r="G24" s="14">
        <v>42.861386930000002</v>
      </c>
      <c r="H24" s="16">
        <v>2.3349837899999999</v>
      </c>
      <c r="I24" s="14" t="s">
        <v>139</v>
      </c>
      <c r="J24" s="16" t="s">
        <v>139</v>
      </c>
      <c r="K24" s="14">
        <v>0</v>
      </c>
      <c r="L24" s="16">
        <v>0</v>
      </c>
      <c r="M24" s="14">
        <v>0</v>
      </c>
      <c r="N24" s="16">
        <v>0</v>
      </c>
      <c r="O24" s="14">
        <v>0</v>
      </c>
      <c r="P24" s="16">
        <v>0</v>
      </c>
      <c r="Q24" s="14">
        <v>0</v>
      </c>
      <c r="R24" s="16">
        <v>0</v>
      </c>
    </row>
    <row r="25" spans="1:18" x14ac:dyDescent="0.25">
      <c r="A25" s="11" t="s">
        <v>158</v>
      </c>
      <c r="B25" s="13">
        <v>2669</v>
      </c>
      <c r="C25" s="14">
        <f>(2210/B25*100)</f>
        <v>82.802547770700642</v>
      </c>
      <c r="D25" s="15">
        <v>459</v>
      </c>
      <c r="E25" s="14">
        <v>62.611767610000001</v>
      </c>
      <c r="F25" s="16">
        <v>2.4634762800000001</v>
      </c>
      <c r="G25" s="14">
        <v>37.388232389999999</v>
      </c>
      <c r="H25" s="16">
        <v>2.4634762800000001</v>
      </c>
      <c r="I25" s="14" t="s">
        <v>139</v>
      </c>
      <c r="J25" s="16" t="s">
        <v>139</v>
      </c>
      <c r="K25" s="14">
        <v>0</v>
      </c>
      <c r="L25" s="16">
        <v>0</v>
      </c>
      <c r="M25" s="14">
        <v>0</v>
      </c>
      <c r="N25" s="16">
        <v>0</v>
      </c>
      <c r="O25" s="14">
        <v>0</v>
      </c>
      <c r="P25" s="16">
        <v>0</v>
      </c>
      <c r="Q25" s="14">
        <v>0</v>
      </c>
      <c r="R25" s="16">
        <v>0</v>
      </c>
    </row>
    <row r="26" spans="1:18" x14ac:dyDescent="0.25">
      <c r="A26" s="11" t="s">
        <v>159</v>
      </c>
      <c r="B26" s="13">
        <v>2419</v>
      </c>
      <c r="C26" s="14">
        <f>(2013/B26*100)</f>
        <v>83.216205043406362</v>
      </c>
      <c r="D26" s="15">
        <v>406</v>
      </c>
      <c r="E26" s="14">
        <v>70.737764709999993</v>
      </c>
      <c r="F26" s="16">
        <v>2.61684626</v>
      </c>
      <c r="G26" s="14">
        <v>29.26223529</v>
      </c>
      <c r="H26" s="16">
        <v>2.61684626</v>
      </c>
      <c r="I26" s="14" t="s">
        <v>139</v>
      </c>
      <c r="J26" s="16" t="s">
        <v>139</v>
      </c>
      <c r="K26" s="14">
        <v>0</v>
      </c>
      <c r="L26" s="16">
        <v>0</v>
      </c>
      <c r="M26" s="14">
        <v>0</v>
      </c>
      <c r="N26" s="16">
        <v>0</v>
      </c>
      <c r="O26" s="14">
        <v>0</v>
      </c>
      <c r="P26" s="16">
        <v>0</v>
      </c>
      <c r="Q26" s="14">
        <v>0</v>
      </c>
      <c r="R26" s="16">
        <v>0</v>
      </c>
    </row>
    <row r="27" spans="1:18" x14ac:dyDescent="0.25">
      <c r="A27" s="11" t="s">
        <v>160</v>
      </c>
      <c r="B27" s="13">
        <v>2683</v>
      </c>
      <c r="C27" s="14">
        <f>(2288/B27*100)</f>
        <v>85.277674245247852</v>
      </c>
      <c r="D27" s="15">
        <v>395</v>
      </c>
      <c r="E27" s="14">
        <v>72.697933109999994</v>
      </c>
      <c r="F27" s="16">
        <v>2.1746888100000001</v>
      </c>
      <c r="G27" s="14">
        <v>27.302066889999999</v>
      </c>
      <c r="H27" s="16">
        <v>2.1746888100000001</v>
      </c>
      <c r="I27" s="14" t="s">
        <v>139</v>
      </c>
      <c r="J27" s="16" t="s">
        <v>139</v>
      </c>
      <c r="K27" s="14">
        <v>0</v>
      </c>
      <c r="L27" s="16">
        <v>0</v>
      </c>
      <c r="M27" s="14">
        <v>0</v>
      </c>
      <c r="N27" s="16">
        <v>0</v>
      </c>
      <c r="O27" s="14">
        <v>0</v>
      </c>
      <c r="P27" s="16">
        <v>0</v>
      </c>
      <c r="Q27" s="14">
        <v>0</v>
      </c>
      <c r="R27" s="16">
        <v>0</v>
      </c>
    </row>
    <row r="28" spans="1:18" x14ac:dyDescent="0.25">
      <c r="A28" s="11" t="s">
        <v>161</v>
      </c>
      <c r="B28" s="13">
        <v>3803</v>
      </c>
      <c r="C28" s="14">
        <f>(3297/B28*100)</f>
        <v>86.694714698921899</v>
      </c>
      <c r="D28" s="15">
        <v>506</v>
      </c>
      <c r="E28" s="14">
        <v>82.360492440000002</v>
      </c>
      <c r="F28" s="16">
        <v>1.9768976700000001</v>
      </c>
      <c r="G28" s="14">
        <v>17.639507559999998</v>
      </c>
      <c r="H28" s="16">
        <v>1.9768976700000001</v>
      </c>
      <c r="I28" s="14" t="s">
        <v>139</v>
      </c>
      <c r="J28" s="16" t="s">
        <v>139</v>
      </c>
      <c r="K28" s="14">
        <v>0</v>
      </c>
      <c r="L28" s="16">
        <v>0</v>
      </c>
      <c r="M28" s="14">
        <v>0</v>
      </c>
      <c r="N28" s="16">
        <v>0</v>
      </c>
      <c r="O28" s="14">
        <v>0</v>
      </c>
      <c r="P28" s="16">
        <v>0</v>
      </c>
      <c r="Q28" s="14">
        <v>0</v>
      </c>
      <c r="R28" s="16">
        <v>0</v>
      </c>
    </row>
    <row r="29" spans="1:18" x14ac:dyDescent="0.25">
      <c r="A29" s="11" t="s">
        <v>162</v>
      </c>
      <c r="B29" s="13">
        <v>2700</v>
      </c>
      <c r="C29" s="14">
        <f>(2267/B29*100)</f>
        <v>83.962962962962962</v>
      </c>
      <c r="D29" s="15">
        <v>433</v>
      </c>
      <c r="E29" s="14">
        <v>49.152378970000001</v>
      </c>
      <c r="F29" s="16">
        <v>2.2962571299999999</v>
      </c>
      <c r="G29" s="14">
        <v>50.847621029999999</v>
      </c>
      <c r="H29" s="16">
        <v>2.2962571299999999</v>
      </c>
      <c r="I29" s="14" t="s">
        <v>139</v>
      </c>
      <c r="J29" s="16" t="s">
        <v>139</v>
      </c>
      <c r="K29" s="14">
        <v>0</v>
      </c>
      <c r="L29" s="16">
        <v>0</v>
      </c>
      <c r="M29" s="14">
        <v>0</v>
      </c>
      <c r="N29" s="16">
        <v>0</v>
      </c>
      <c r="O29" s="14">
        <v>0</v>
      </c>
      <c r="P29" s="16">
        <v>0</v>
      </c>
      <c r="Q29" s="14">
        <v>0</v>
      </c>
      <c r="R29" s="16">
        <v>0</v>
      </c>
    </row>
    <row r="30" spans="1:18" x14ac:dyDescent="0.25">
      <c r="A30" s="11" t="s">
        <v>163</v>
      </c>
      <c r="B30" s="13">
        <v>2257</v>
      </c>
      <c r="C30" s="14">
        <f>(1955/B30*100)</f>
        <v>86.619406291537445</v>
      </c>
      <c r="D30" s="15">
        <v>302</v>
      </c>
      <c r="E30" s="14">
        <v>71.103795759999997</v>
      </c>
      <c r="F30" s="16">
        <v>3.0428696199999998</v>
      </c>
      <c r="G30" s="14">
        <v>28.896204239999999</v>
      </c>
      <c r="H30" s="16">
        <v>3.0428696199999998</v>
      </c>
      <c r="I30" s="14" t="s">
        <v>139</v>
      </c>
      <c r="J30" s="16" t="s">
        <v>139</v>
      </c>
      <c r="K30" s="14">
        <v>0</v>
      </c>
      <c r="L30" s="16">
        <v>0</v>
      </c>
      <c r="M30" s="14">
        <v>0</v>
      </c>
      <c r="N30" s="16">
        <v>0</v>
      </c>
      <c r="O30" s="14">
        <v>0</v>
      </c>
      <c r="P30" s="16">
        <v>0</v>
      </c>
      <c r="Q30" s="14">
        <v>0</v>
      </c>
      <c r="R30" s="16">
        <v>0</v>
      </c>
    </row>
    <row r="31" spans="1:18" x14ac:dyDescent="0.25">
      <c r="A31" s="11" t="s">
        <v>164</v>
      </c>
      <c r="B31" s="13">
        <v>2706</v>
      </c>
      <c r="C31" s="14">
        <f>(2283/B31*100)</f>
        <v>84.368070953436799</v>
      </c>
      <c r="D31" s="15">
        <v>423</v>
      </c>
      <c r="E31" s="14">
        <v>71.144185370000002</v>
      </c>
      <c r="F31" s="16">
        <v>2.56387725</v>
      </c>
      <c r="G31" s="14">
        <v>28.855814630000001</v>
      </c>
      <c r="H31" s="16">
        <v>2.56387725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3651</v>
      </c>
      <c r="C33" s="14">
        <f>(3142/B33*100)</f>
        <v>86.058614078334699</v>
      </c>
      <c r="D33" s="15">
        <v>509</v>
      </c>
      <c r="E33" s="14">
        <v>81.746686330000003</v>
      </c>
      <c r="F33" s="16">
        <v>2.0994280700000001</v>
      </c>
      <c r="G33" s="14">
        <v>18.253313670000001</v>
      </c>
      <c r="H33" s="16">
        <v>2.0994280700000001</v>
      </c>
      <c r="I33" s="14" t="s">
        <v>139</v>
      </c>
      <c r="J33" s="16" t="s">
        <v>139</v>
      </c>
      <c r="K33" s="14">
        <v>0</v>
      </c>
      <c r="L33" s="16">
        <v>0</v>
      </c>
      <c r="M33" s="14">
        <v>0</v>
      </c>
      <c r="N33" s="16">
        <v>0</v>
      </c>
      <c r="O33" s="14">
        <v>0</v>
      </c>
      <c r="P33" s="16">
        <v>0</v>
      </c>
      <c r="Q33" s="14">
        <v>0</v>
      </c>
      <c r="R33" s="16">
        <v>0</v>
      </c>
    </row>
    <row r="34" spans="1:18" x14ac:dyDescent="0.25">
      <c r="A34" s="11" t="s">
        <v>167</v>
      </c>
      <c r="B34" s="13">
        <v>3035</v>
      </c>
      <c r="C34" s="14">
        <f>(2601/B34*100)</f>
        <v>85.700164744645804</v>
      </c>
      <c r="D34" s="15">
        <v>434</v>
      </c>
      <c r="E34" s="14">
        <v>70.636067389999994</v>
      </c>
      <c r="F34" s="16">
        <v>2.40884593</v>
      </c>
      <c r="G34" s="14">
        <v>29.363932609999999</v>
      </c>
      <c r="H34" s="16">
        <v>2.40884593</v>
      </c>
      <c r="I34" s="14" t="s">
        <v>139</v>
      </c>
      <c r="J34" s="16" t="s">
        <v>139</v>
      </c>
      <c r="K34" s="14">
        <v>0</v>
      </c>
      <c r="L34" s="16">
        <v>0</v>
      </c>
      <c r="M34" s="14">
        <v>0</v>
      </c>
      <c r="N34" s="16">
        <v>0</v>
      </c>
      <c r="O34" s="14">
        <v>0</v>
      </c>
      <c r="P34" s="16">
        <v>0</v>
      </c>
      <c r="Q34" s="14">
        <v>0</v>
      </c>
      <c r="R34" s="16">
        <v>0</v>
      </c>
    </row>
    <row r="35" spans="1:18" x14ac:dyDescent="0.25">
      <c r="A35" s="11" t="s">
        <v>168</v>
      </c>
      <c r="B35" s="13">
        <v>2901</v>
      </c>
      <c r="C35" s="14">
        <f>(2440/B35*100)</f>
        <v>84.108927955877292</v>
      </c>
      <c r="D35" s="15">
        <v>461</v>
      </c>
      <c r="E35" s="14">
        <v>72.39270191</v>
      </c>
      <c r="F35" s="16">
        <v>2.8753282800000002</v>
      </c>
      <c r="G35" s="14">
        <v>27.60729809</v>
      </c>
      <c r="H35" s="16">
        <v>2.8753282800000002</v>
      </c>
      <c r="I35" s="14" t="s">
        <v>139</v>
      </c>
      <c r="J35" s="16" t="s">
        <v>139</v>
      </c>
      <c r="K35" s="14">
        <v>0</v>
      </c>
      <c r="L35" s="16">
        <v>0</v>
      </c>
      <c r="M35" s="14">
        <v>0</v>
      </c>
      <c r="N35" s="16">
        <v>0</v>
      </c>
      <c r="O35" s="14">
        <v>0</v>
      </c>
      <c r="P35" s="16">
        <v>0</v>
      </c>
      <c r="Q35" s="14">
        <v>0</v>
      </c>
      <c r="R35" s="16">
        <v>0</v>
      </c>
    </row>
    <row r="36" spans="1:18" x14ac:dyDescent="0.25">
      <c r="A36" s="11" t="s">
        <v>169</v>
      </c>
      <c r="B36" s="13">
        <v>3404</v>
      </c>
      <c r="C36" s="14">
        <f>(2925/B36*100)</f>
        <v>85.928319623971788</v>
      </c>
      <c r="D36" s="15">
        <v>479</v>
      </c>
      <c r="E36" s="14">
        <v>71.391464780000007</v>
      </c>
      <c r="F36" s="16">
        <v>2.2912737600000002</v>
      </c>
      <c r="G36" s="14">
        <v>28.60853522</v>
      </c>
      <c r="H36" s="16">
        <v>2.2912737600000002</v>
      </c>
      <c r="I36" s="14" t="s">
        <v>139</v>
      </c>
      <c r="J36" s="16" t="s">
        <v>139</v>
      </c>
      <c r="K36" s="14">
        <v>0</v>
      </c>
      <c r="L36" s="16">
        <v>0</v>
      </c>
      <c r="M36" s="14">
        <v>0</v>
      </c>
      <c r="N36" s="16">
        <v>0</v>
      </c>
      <c r="O36" s="14">
        <v>0</v>
      </c>
      <c r="P36" s="16">
        <v>0</v>
      </c>
      <c r="Q36" s="14">
        <v>0</v>
      </c>
      <c r="R36" s="16">
        <v>0</v>
      </c>
    </row>
    <row r="37" spans="1:18" x14ac:dyDescent="0.25">
      <c r="A37" s="11" t="s">
        <v>170</v>
      </c>
      <c r="B37" s="13">
        <v>2731</v>
      </c>
      <c r="C37" s="14">
        <f>(2340/B37*100)</f>
        <v>85.68290003661663</v>
      </c>
      <c r="D37" s="15">
        <v>391</v>
      </c>
      <c r="E37" s="14">
        <v>63.081092769999998</v>
      </c>
      <c r="F37" s="16">
        <v>2.1701720799999999</v>
      </c>
      <c r="G37" s="14">
        <v>36.918907230000002</v>
      </c>
      <c r="H37" s="16">
        <v>2.1701720799999999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2938</v>
      </c>
      <c r="C39" s="14">
        <f>(2421/B39*100)</f>
        <v>82.402995234853634</v>
      </c>
      <c r="D39" s="15">
        <v>517</v>
      </c>
      <c r="E39" s="14">
        <v>72.792777770000001</v>
      </c>
      <c r="F39" s="16">
        <v>1.82672079</v>
      </c>
      <c r="G39" s="14">
        <v>27.207222229999999</v>
      </c>
      <c r="H39" s="16">
        <v>1.82672079</v>
      </c>
      <c r="I39" s="14" t="s">
        <v>139</v>
      </c>
      <c r="J39" s="16" t="s">
        <v>139</v>
      </c>
      <c r="K39" s="14">
        <v>0</v>
      </c>
      <c r="L39" s="16">
        <v>0</v>
      </c>
      <c r="M39" s="14">
        <v>0</v>
      </c>
      <c r="N39" s="16">
        <v>0</v>
      </c>
      <c r="O39" s="14">
        <v>0</v>
      </c>
      <c r="P39" s="16">
        <v>0</v>
      </c>
      <c r="Q39" s="14">
        <v>0</v>
      </c>
      <c r="R39" s="16">
        <v>0</v>
      </c>
    </row>
    <row r="40" spans="1:18" x14ac:dyDescent="0.25">
      <c r="A40" s="11" t="s">
        <v>173</v>
      </c>
      <c r="B40" s="13">
        <v>6922</v>
      </c>
      <c r="C40" s="14">
        <f>(5790/B40*100)</f>
        <v>83.646344986997974</v>
      </c>
      <c r="D40" s="15">
        <v>1132</v>
      </c>
      <c r="E40" s="14">
        <v>70.205464910000003</v>
      </c>
      <c r="F40" s="16">
        <v>2.1862447199999999</v>
      </c>
      <c r="G40" s="14">
        <v>29.79453509</v>
      </c>
      <c r="H40" s="16">
        <v>2.1862447199999999</v>
      </c>
      <c r="I40" s="14" t="s">
        <v>139</v>
      </c>
      <c r="J40" s="16" t="s">
        <v>139</v>
      </c>
      <c r="K40" s="14">
        <v>0</v>
      </c>
      <c r="L40" s="16">
        <v>0</v>
      </c>
      <c r="M40" s="14">
        <v>0</v>
      </c>
      <c r="N40" s="16">
        <v>0</v>
      </c>
      <c r="O40" s="14">
        <v>0</v>
      </c>
      <c r="P40" s="16">
        <v>0</v>
      </c>
      <c r="Q40" s="14">
        <v>0</v>
      </c>
      <c r="R40" s="16">
        <v>0</v>
      </c>
    </row>
    <row r="41" spans="1:18" x14ac:dyDescent="0.25">
      <c r="A41" s="11" t="s">
        <v>174</v>
      </c>
      <c r="B41" s="13">
        <v>2854</v>
      </c>
      <c r="C41" s="14">
        <f>(2406/B41*100)</f>
        <v>84.302733006306937</v>
      </c>
      <c r="D41" s="15">
        <v>448</v>
      </c>
      <c r="E41" s="14">
        <v>70.941848960000002</v>
      </c>
      <c r="F41" s="16">
        <v>2.19685146</v>
      </c>
      <c r="G41" s="14">
        <v>29.058151039999998</v>
      </c>
      <c r="H41" s="16">
        <v>2.19685146</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3612.53125</v>
      </c>
      <c r="C42" s="14">
        <f>IF(COUNT(C7:C41) &gt; 0, AVERAGE(C7:C41), "—")</f>
        <v>84.647739948495484</v>
      </c>
      <c r="D42" s="15">
        <f>IF(COUNT(D7:D41) &gt; 0, AVERAGE(D7:D41), "—")</f>
        <v>556.1875</v>
      </c>
      <c r="E42" s="14">
        <f>IF(COUNT(E7:E41) &gt; 0, AVERAGE(E7:E41), "—")</f>
        <v>67.83397226374997</v>
      </c>
      <c r="F42" s="16">
        <f>IF(COUNT(F7:F41) &gt; 0, SQRT(SUMSQ(F7:F41)/(COUNT(F7:F41)*COUNT(F7:F41)) ), "—")</f>
        <v>0.40306664823223487</v>
      </c>
      <c r="G42" s="14">
        <f>IF(COUNT(G7:G41) &gt; 0, AVERAGE(G7:G41), "—")</f>
        <v>32.166027736250001</v>
      </c>
      <c r="H42" s="16">
        <f>IF(COUNT(H7:H41) &gt; 0, SQRT(SUMSQ(H7:H41)/(COUNT(H7:H41)*COUNT(H7:H41)) ), "—")</f>
        <v>0.40306664823223487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12073</v>
      </c>
      <c r="C46" s="14">
        <f>(10900/B46*100)</f>
        <v>90.28410502774787</v>
      </c>
      <c r="D46" s="15">
        <v>1173</v>
      </c>
      <c r="E46" s="14">
        <v>79.693836149999996</v>
      </c>
      <c r="F46" s="16">
        <v>1.44344651</v>
      </c>
      <c r="G46" s="14">
        <v>20.306163850000001</v>
      </c>
      <c r="H46" s="16">
        <v>1.44344651</v>
      </c>
      <c r="I46" s="14" t="s">
        <v>139</v>
      </c>
      <c r="J46" s="16" t="s">
        <v>139</v>
      </c>
      <c r="K46" s="14">
        <v>0</v>
      </c>
      <c r="L46" s="16">
        <v>0</v>
      </c>
      <c r="M46" s="14">
        <v>0</v>
      </c>
      <c r="N46" s="16">
        <v>0</v>
      </c>
      <c r="O46" s="14">
        <v>0</v>
      </c>
      <c r="P46" s="16">
        <v>0</v>
      </c>
      <c r="Q46" s="14">
        <v>0</v>
      </c>
      <c r="R46" s="16">
        <v>0</v>
      </c>
    </row>
    <row r="47" spans="1:18" x14ac:dyDescent="0.25">
      <c r="A47" s="11" t="s">
        <v>180</v>
      </c>
      <c r="B47" s="13">
        <v>2823</v>
      </c>
      <c r="C47" s="14">
        <f>(2410/B47*100)</f>
        <v>85.370173574211833</v>
      </c>
      <c r="D47" s="15">
        <v>413</v>
      </c>
      <c r="E47" s="14">
        <v>76.848694260000002</v>
      </c>
      <c r="F47" s="16">
        <v>2.3824359099999999</v>
      </c>
      <c r="G47" s="14">
        <v>23.151305740000002</v>
      </c>
      <c r="H47" s="16">
        <v>2.3824359099999999</v>
      </c>
      <c r="I47" s="14" t="s">
        <v>139</v>
      </c>
      <c r="J47" s="16" t="s">
        <v>139</v>
      </c>
      <c r="K47" s="14">
        <v>0</v>
      </c>
      <c r="L47" s="16">
        <v>0</v>
      </c>
      <c r="M47" s="14">
        <v>0</v>
      </c>
      <c r="N47" s="16">
        <v>0</v>
      </c>
      <c r="O47" s="14">
        <v>0</v>
      </c>
      <c r="P47" s="16">
        <v>0</v>
      </c>
      <c r="Q47" s="14">
        <v>0</v>
      </c>
      <c r="R47" s="16">
        <v>0</v>
      </c>
    </row>
    <row r="48" spans="1:18" x14ac:dyDescent="0.25">
      <c r="A48" s="11" t="s">
        <v>181</v>
      </c>
      <c r="B48" s="13">
        <v>4682</v>
      </c>
      <c r="C48" s="14">
        <f>(3918/B48*100)</f>
        <v>83.682187099530111</v>
      </c>
      <c r="D48" s="15">
        <v>764</v>
      </c>
      <c r="E48" s="14">
        <v>75.310184949999993</v>
      </c>
      <c r="F48" s="16">
        <v>2.0606727</v>
      </c>
      <c r="G48" s="14">
        <v>24.68981505</v>
      </c>
      <c r="H48" s="16">
        <v>2.0606727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6158</v>
      </c>
      <c r="C50" s="14">
        <f>(5288/B50*100)</f>
        <v>85.872036375446569</v>
      </c>
      <c r="D50" s="15">
        <v>870</v>
      </c>
      <c r="E50" s="14">
        <v>85.785746489999994</v>
      </c>
      <c r="F50" s="16">
        <v>1.5452727399999999</v>
      </c>
      <c r="G50" s="14">
        <v>14.214253510000001</v>
      </c>
      <c r="H50" s="16">
        <v>1.5452727399999999</v>
      </c>
      <c r="I50" s="14" t="s">
        <v>139</v>
      </c>
      <c r="J50" s="16" t="s">
        <v>139</v>
      </c>
      <c r="K50" s="14">
        <v>0</v>
      </c>
      <c r="L50" s="16">
        <v>0</v>
      </c>
      <c r="M50" s="14">
        <v>0</v>
      </c>
      <c r="N50" s="16">
        <v>0</v>
      </c>
      <c r="O50" s="14">
        <v>0</v>
      </c>
      <c r="P50" s="16">
        <v>0</v>
      </c>
      <c r="Q50" s="14">
        <v>0</v>
      </c>
      <c r="R50" s="16">
        <v>0</v>
      </c>
    </row>
    <row r="51" spans="1:18" x14ac:dyDescent="0.25">
      <c r="A51" s="11" t="s">
        <v>184</v>
      </c>
      <c r="B51" s="13">
        <v>3494</v>
      </c>
      <c r="C51" s="14">
        <f>(3070/B51*100)</f>
        <v>87.864911276473961</v>
      </c>
      <c r="D51" s="15">
        <v>424</v>
      </c>
      <c r="E51" s="14">
        <v>79.773701209999999</v>
      </c>
      <c r="F51" s="16">
        <v>1.8598882299999999</v>
      </c>
      <c r="G51" s="14">
        <v>20.226298790000001</v>
      </c>
      <c r="H51" s="16">
        <v>1.8598882299999999</v>
      </c>
      <c r="I51" s="14" t="s">
        <v>139</v>
      </c>
      <c r="J51" s="16" t="s">
        <v>139</v>
      </c>
      <c r="K51" s="14">
        <v>0</v>
      </c>
      <c r="L51" s="16">
        <v>0</v>
      </c>
      <c r="M51" s="14">
        <v>0</v>
      </c>
      <c r="N51" s="16">
        <v>0</v>
      </c>
      <c r="O51" s="14">
        <v>0</v>
      </c>
      <c r="P51" s="16">
        <v>0</v>
      </c>
      <c r="Q51" s="14">
        <v>0</v>
      </c>
      <c r="R51" s="16">
        <v>0</v>
      </c>
    </row>
    <row r="52" spans="1:18" x14ac:dyDescent="0.25">
      <c r="A52" s="11" t="s">
        <v>185</v>
      </c>
      <c r="B52" s="13">
        <v>3013</v>
      </c>
      <c r="C52" s="14">
        <f>(2529/B52*100)</f>
        <v>83.936276136740801</v>
      </c>
      <c r="D52" s="15">
        <v>484</v>
      </c>
      <c r="E52" s="14">
        <v>73.458294600000002</v>
      </c>
      <c r="F52" s="16">
        <v>1.97073305</v>
      </c>
      <c r="G52" s="14">
        <v>26.541705400000001</v>
      </c>
      <c r="H52" s="16">
        <v>1.97073305</v>
      </c>
      <c r="I52" s="14" t="s">
        <v>139</v>
      </c>
      <c r="J52" s="16" t="s">
        <v>139</v>
      </c>
      <c r="K52" s="14">
        <v>0</v>
      </c>
      <c r="L52" s="16">
        <v>0</v>
      </c>
      <c r="M52" s="14">
        <v>0</v>
      </c>
      <c r="N52" s="16">
        <v>0</v>
      </c>
      <c r="O52" s="14">
        <v>0</v>
      </c>
      <c r="P52" s="16">
        <v>0</v>
      </c>
      <c r="Q52" s="14">
        <v>0</v>
      </c>
      <c r="R52" s="16">
        <v>0</v>
      </c>
    </row>
    <row r="53" spans="1:18" x14ac:dyDescent="0.25">
      <c r="A53" s="11" t="s">
        <v>186</v>
      </c>
      <c r="B53" s="13">
        <v>2760</v>
      </c>
      <c r="C53" s="14">
        <f>(2361/B53*100)</f>
        <v>85.543478260869563</v>
      </c>
      <c r="D53" s="15">
        <v>399</v>
      </c>
      <c r="E53" s="14">
        <v>71.830698479999995</v>
      </c>
      <c r="F53" s="16">
        <v>2.4415287299999999</v>
      </c>
      <c r="G53" s="14">
        <v>28.169301520000001</v>
      </c>
      <c r="H53" s="16">
        <v>2.4415287299999999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2675</v>
      </c>
      <c r="C56" s="14">
        <f>(2213/B56*100)</f>
        <v>82.728971962616825</v>
      </c>
      <c r="D56" s="15">
        <v>462</v>
      </c>
      <c r="E56" s="14">
        <v>52.399329899999998</v>
      </c>
      <c r="F56" s="16">
        <v>2.0953854199999999</v>
      </c>
      <c r="G56" s="14">
        <v>47.600670100000002</v>
      </c>
      <c r="H56" s="16">
        <v>2.0953854199999999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3201</v>
      </c>
      <c r="C61" s="14">
        <f>(2689/B61*100)</f>
        <v>84.004998437988135</v>
      </c>
      <c r="D61" s="15">
        <v>512</v>
      </c>
      <c r="E61" s="14">
        <v>75.314679690000006</v>
      </c>
      <c r="F61" s="16">
        <v>2.0812625599999999</v>
      </c>
      <c r="G61" s="14">
        <v>24.685320310000002</v>
      </c>
      <c r="H61" s="16">
        <v>2.0812625599999999</v>
      </c>
      <c r="I61" s="14" t="s">
        <v>139</v>
      </c>
      <c r="J61" s="16" t="s">
        <v>139</v>
      </c>
      <c r="K61" s="14">
        <v>0</v>
      </c>
      <c r="L61" s="16">
        <v>0</v>
      </c>
      <c r="M61" s="14">
        <v>0</v>
      </c>
      <c r="N61" s="16">
        <v>0</v>
      </c>
      <c r="O61" s="14">
        <v>0</v>
      </c>
      <c r="P61" s="16">
        <v>0</v>
      </c>
      <c r="Q61" s="14">
        <v>0</v>
      </c>
      <c r="R61" s="16">
        <v>0</v>
      </c>
    </row>
    <row r="62" spans="1:18" x14ac:dyDescent="0.25">
      <c r="A62" s="11" t="s">
        <v>195</v>
      </c>
      <c r="B62" s="13">
        <v>2230</v>
      </c>
      <c r="C62" s="14">
        <f>(1892/B62*100)</f>
        <v>84.843049327354265</v>
      </c>
      <c r="D62" s="15">
        <v>338</v>
      </c>
      <c r="E62" s="14">
        <v>59.85554011</v>
      </c>
      <c r="F62" s="16">
        <v>2.93397547</v>
      </c>
      <c r="G62" s="14">
        <v>40.14445989</v>
      </c>
      <c r="H62" s="16">
        <v>2.93397547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2771</v>
      </c>
      <c r="C66" s="14">
        <f>(2344/B66*100)</f>
        <v>84.590400577408872</v>
      </c>
      <c r="D66" s="15">
        <v>427</v>
      </c>
      <c r="E66" s="14">
        <v>73.883946010000003</v>
      </c>
      <c r="F66" s="16">
        <v>2.5003186400000001</v>
      </c>
      <c r="G66" s="14">
        <v>26.116053990000001</v>
      </c>
      <c r="H66" s="16">
        <v>2.5003186400000001</v>
      </c>
      <c r="I66" s="14" t="s">
        <v>139</v>
      </c>
      <c r="J66" s="16" t="s">
        <v>139</v>
      </c>
      <c r="K66" s="14">
        <v>0</v>
      </c>
      <c r="L66" s="16">
        <v>0</v>
      </c>
      <c r="M66" s="14">
        <v>0</v>
      </c>
      <c r="N66" s="16">
        <v>0</v>
      </c>
      <c r="O66" s="14">
        <v>0</v>
      </c>
      <c r="P66" s="16">
        <v>0</v>
      </c>
      <c r="Q66" s="14">
        <v>0</v>
      </c>
      <c r="R66" s="16">
        <v>0</v>
      </c>
    </row>
    <row r="67" spans="1:18" x14ac:dyDescent="0.25">
      <c r="A67" s="11" t="s">
        <v>200</v>
      </c>
      <c r="B67" s="13">
        <v>3460</v>
      </c>
      <c r="C67" s="14">
        <f>(3068/B67*100)</f>
        <v>88.670520231213871</v>
      </c>
      <c r="D67" s="15">
        <v>392</v>
      </c>
      <c r="E67" s="14">
        <v>78.523315800000006</v>
      </c>
      <c r="F67" s="16">
        <v>2.0879844400000001</v>
      </c>
      <c r="G67" s="14">
        <v>21.476684200000001</v>
      </c>
      <c r="H67" s="16">
        <v>2.0879844400000001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3107</v>
      </c>
      <c r="C70" s="14">
        <f>(2627/B70*100)</f>
        <v>84.551013839716774</v>
      </c>
      <c r="D70" s="15">
        <v>480</v>
      </c>
      <c r="E70" s="14">
        <v>75.287607100000002</v>
      </c>
      <c r="F70" s="16">
        <v>2.2041712599999999</v>
      </c>
      <c r="G70" s="14">
        <v>24.712392900000001</v>
      </c>
      <c r="H70" s="16">
        <v>2.2041712599999999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3819</v>
      </c>
      <c r="C72" s="14">
        <f>(3165/B72*100)</f>
        <v>82.875098193244298</v>
      </c>
      <c r="D72" s="15">
        <v>654</v>
      </c>
      <c r="E72" s="14">
        <v>63.93433169</v>
      </c>
      <c r="F72" s="16">
        <v>1.9253242800000001</v>
      </c>
      <c r="G72" s="14">
        <v>36.06566831</v>
      </c>
      <c r="H72" s="16">
        <v>1.9253242800000001</v>
      </c>
      <c r="I72" s="14" t="s">
        <v>139</v>
      </c>
      <c r="J72" s="16" t="s">
        <v>139</v>
      </c>
      <c r="K72" s="14">
        <v>0</v>
      </c>
      <c r="L72" s="16">
        <v>0</v>
      </c>
      <c r="M72" s="14">
        <v>0</v>
      </c>
      <c r="N72" s="16">
        <v>0</v>
      </c>
      <c r="O72" s="14">
        <v>0</v>
      </c>
      <c r="P72" s="16">
        <v>0</v>
      </c>
      <c r="Q72" s="14">
        <v>0</v>
      </c>
      <c r="R72" s="16">
        <v>0</v>
      </c>
    </row>
    <row r="73" spans="1:18" x14ac:dyDescent="0.25">
      <c r="A73" s="11" t="s">
        <v>206</v>
      </c>
      <c r="B73" s="13">
        <v>4652</v>
      </c>
      <c r="C73" s="14">
        <f>(4015/B73*100)</f>
        <v>86.306964746345656</v>
      </c>
      <c r="D73" s="15">
        <v>637</v>
      </c>
      <c r="E73" s="14">
        <v>79.836289449999995</v>
      </c>
      <c r="F73" s="16">
        <v>2.1526071</v>
      </c>
      <c r="G73" s="14">
        <v>20.163710550000001</v>
      </c>
      <c r="H73" s="16">
        <v>2.1526071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2969</v>
      </c>
      <c r="C75" s="14">
        <f>(2562/B75*100)</f>
        <v>86.291680700572584</v>
      </c>
      <c r="D75" s="15">
        <v>407</v>
      </c>
      <c r="E75" s="14">
        <v>82.495305450000004</v>
      </c>
      <c r="F75" s="16">
        <v>1.7958088299999999</v>
      </c>
      <c r="G75" s="14">
        <v>17.50469455</v>
      </c>
      <c r="H75" s="16">
        <v>1.7958088299999999</v>
      </c>
      <c r="I75" s="14" t="s">
        <v>139</v>
      </c>
      <c r="J75" s="16" t="s">
        <v>139</v>
      </c>
      <c r="K75" s="14">
        <v>0</v>
      </c>
      <c r="L75" s="16">
        <v>0</v>
      </c>
      <c r="M75" s="14">
        <v>0</v>
      </c>
      <c r="N75" s="16">
        <v>0</v>
      </c>
      <c r="O75" s="14">
        <v>0</v>
      </c>
      <c r="P75" s="16">
        <v>0</v>
      </c>
      <c r="Q75" s="14">
        <v>0</v>
      </c>
      <c r="R75" s="16">
        <v>0</v>
      </c>
    </row>
    <row r="76" spans="1:18" x14ac:dyDescent="0.25">
      <c r="A76" s="11" t="s">
        <v>209</v>
      </c>
      <c r="B76" s="13">
        <v>7115</v>
      </c>
      <c r="C76" s="14">
        <f>(5933/B76*100)</f>
        <v>83.387210119465919</v>
      </c>
      <c r="D76" s="15">
        <v>1182</v>
      </c>
      <c r="E76" s="14">
        <v>78.116985319999998</v>
      </c>
      <c r="F76" s="16">
        <v>1.37452635</v>
      </c>
      <c r="G76" s="14">
        <v>21.883014679999999</v>
      </c>
      <c r="H76" s="16">
        <v>1.37452635</v>
      </c>
      <c r="I76" s="14" t="s">
        <v>139</v>
      </c>
      <c r="J76" s="16" t="s">
        <v>139</v>
      </c>
      <c r="K76" s="14">
        <v>0</v>
      </c>
      <c r="L76" s="16">
        <v>0</v>
      </c>
      <c r="M76" s="14">
        <v>0</v>
      </c>
      <c r="N76" s="16">
        <v>0</v>
      </c>
      <c r="O76" s="14">
        <v>0</v>
      </c>
      <c r="P76" s="16">
        <v>0</v>
      </c>
      <c r="Q76" s="14">
        <v>0</v>
      </c>
      <c r="R76" s="16">
        <v>0</v>
      </c>
    </row>
    <row r="77" spans="1:18" x14ac:dyDescent="0.25">
      <c r="A77" s="11" t="s">
        <v>210</v>
      </c>
      <c r="B77" s="13">
        <v>3154</v>
      </c>
      <c r="C77" s="14">
        <f>(2706/B77*100)</f>
        <v>85.795814838300572</v>
      </c>
      <c r="D77" s="15">
        <v>448</v>
      </c>
      <c r="E77" s="14">
        <v>78.042942960000005</v>
      </c>
      <c r="F77" s="16">
        <v>2.2763945400000001</v>
      </c>
      <c r="G77" s="14">
        <v>21.957057039999999</v>
      </c>
      <c r="H77" s="16">
        <v>2.2763945400000001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4698</v>
      </c>
      <c r="C81" s="14">
        <f>(3933/B81*100)</f>
        <v>83.716475095785441</v>
      </c>
      <c r="D81" s="15">
        <v>765</v>
      </c>
      <c r="E81" s="14">
        <v>74.76274703</v>
      </c>
      <c r="F81" s="16">
        <v>2.0225792600000001</v>
      </c>
      <c r="G81" s="14">
        <v>25.23725297</v>
      </c>
      <c r="H81" s="16">
        <v>2.0225792600000001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358</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229</v>
      </c>
      <c r="F4" s="25"/>
      <c r="G4" s="24" t="s">
        <v>230</v>
      </c>
      <c r="H4" s="25"/>
      <c r="I4" s="24" t="s">
        <v>232</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7163</v>
      </c>
      <c r="C7" s="14">
        <f>(6066/B7*100)</f>
        <v>84.685187770487218</v>
      </c>
      <c r="D7" s="15">
        <v>1097</v>
      </c>
      <c r="E7" s="14">
        <v>39.664897930000002</v>
      </c>
      <c r="F7" s="16">
        <v>2.0047347700000002</v>
      </c>
      <c r="G7" s="14">
        <v>23.596114790000001</v>
      </c>
      <c r="H7" s="16">
        <v>1.6423810299999999</v>
      </c>
      <c r="I7" s="14">
        <v>36.738987280000003</v>
      </c>
      <c r="J7" s="16">
        <v>1.8929777800000001</v>
      </c>
      <c r="K7" s="14" t="s">
        <v>139</v>
      </c>
      <c r="L7" s="16" t="s">
        <v>139</v>
      </c>
      <c r="M7" s="14">
        <v>0</v>
      </c>
      <c r="N7" s="16">
        <v>0</v>
      </c>
      <c r="O7" s="14">
        <v>0</v>
      </c>
      <c r="P7" s="16">
        <v>0</v>
      </c>
      <c r="Q7" s="14">
        <v>0</v>
      </c>
      <c r="R7" s="16">
        <v>0</v>
      </c>
      <c r="S7" s="14">
        <v>0</v>
      </c>
      <c r="T7" s="16">
        <v>0</v>
      </c>
    </row>
    <row r="8" spans="1:20" x14ac:dyDescent="0.25">
      <c r="A8" s="11" t="s">
        <v>140</v>
      </c>
      <c r="B8" s="13">
        <v>3443</v>
      </c>
      <c r="C8" s="14">
        <f>(2889/B8*100)</f>
        <v>83.90938135347082</v>
      </c>
      <c r="D8" s="15">
        <v>554</v>
      </c>
      <c r="E8" s="14">
        <v>44.318556620000003</v>
      </c>
      <c r="F8" s="16">
        <v>2.02708602</v>
      </c>
      <c r="G8" s="14">
        <v>24.829910380000001</v>
      </c>
      <c r="H8" s="16">
        <v>2.0386048699999999</v>
      </c>
      <c r="I8" s="14">
        <v>30.851533</v>
      </c>
      <c r="J8" s="16">
        <v>2.0660143099999999</v>
      </c>
      <c r="K8" s="14" t="s">
        <v>139</v>
      </c>
      <c r="L8" s="16" t="s">
        <v>139</v>
      </c>
      <c r="M8" s="14">
        <v>0</v>
      </c>
      <c r="N8" s="16">
        <v>0</v>
      </c>
      <c r="O8" s="14">
        <v>0</v>
      </c>
      <c r="P8" s="16">
        <v>0</v>
      </c>
      <c r="Q8" s="14">
        <v>0</v>
      </c>
      <c r="R8" s="16">
        <v>0</v>
      </c>
      <c r="S8" s="14">
        <v>0</v>
      </c>
      <c r="T8" s="16">
        <v>0</v>
      </c>
    </row>
    <row r="9" spans="1:20" x14ac:dyDescent="0.25">
      <c r="A9" s="11" t="s">
        <v>141</v>
      </c>
      <c r="B9" s="13">
        <v>4752</v>
      </c>
      <c r="C9" s="14">
        <f>(4069/B9*100)</f>
        <v>85.627104377104374</v>
      </c>
      <c r="D9" s="15">
        <v>683</v>
      </c>
      <c r="E9" s="14">
        <v>48.924771659999998</v>
      </c>
      <c r="F9" s="16">
        <v>2.0507297000000002</v>
      </c>
      <c r="G9" s="14">
        <v>26.145915519999999</v>
      </c>
      <c r="H9" s="16">
        <v>1.79814999</v>
      </c>
      <c r="I9" s="14">
        <v>24.92931282</v>
      </c>
      <c r="J9" s="16">
        <v>1.74128894</v>
      </c>
      <c r="K9" s="14" t="s">
        <v>139</v>
      </c>
      <c r="L9" s="16" t="s">
        <v>139</v>
      </c>
      <c r="M9" s="14">
        <v>0</v>
      </c>
      <c r="N9" s="16">
        <v>0</v>
      </c>
      <c r="O9" s="14">
        <v>0</v>
      </c>
      <c r="P9" s="16">
        <v>0</v>
      </c>
      <c r="Q9" s="14">
        <v>0</v>
      </c>
      <c r="R9" s="16">
        <v>0</v>
      </c>
      <c r="S9" s="14">
        <v>0</v>
      </c>
      <c r="T9" s="16">
        <v>0</v>
      </c>
    </row>
    <row r="10" spans="1:20" x14ac:dyDescent="0.25">
      <c r="A10" s="11" t="s">
        <v>142</v>
      </c>
      <c r="B10" s="13">
        <v>10022</v>
      </c>
      <c r="C10" s="14">
        <f>(8395/B10*100)</f>
        <v>83.765715426062656</v>
      </c>
      <c r="D10" s="15">
        <v>1627</v>
      </c>
      <c r="E10" s="14">
        <v>37.989998300000003</v>
      </c>
      <c r="F10" s="16">
        <v>1.7649409599999999</v>
      </c>
      <c r="G10" s="14">
        <v>23.676604520000001</v>
      </c>
      <c r="H10" s="16">
        <v>1.2499814199999999</v>
      </c>
      <c r="I10" s="14">
        <v>38.333397179999999</v>
      </c>
      <c r="J10" s="16">
        <v>1.80256529</v>
      </c>
      <c r="K10" s="14" t="s">
        <v>139</v>
      </c>
      <c r="L10" s="16" t="s">
        <v>139</v>
      </c>
      <c r="M10" s="14">
        <v>0</v>
      </c>
      <c r="N10" s="16">
        <v>0</v>
      </c>
      <c r="O10" s="14">
        <v>0</v>
      </c>
      <c r="P10" s="16">
        <v>0</v>
      </c>
      <c r="Q10" s="14">
        <v>0</v>
      </c>
      <c r="R10" s="16">
        <v>0</v>
      </c>
      <c r="S10" s="14">
        <v>0</v>
      </c>
      <c r="T10" s="16">
        <v>0</v>
      </c>
    </row>
    <row r="11" spans="1:20" x14ac:dyDescent="0.25">
      <c r="A11" s="11" t="s">
        <v>143</v>
      </c>
      <c r="B11" s="13">
        <v>3500</v>
      </c>
      <c r="C11" s="14">
        <f>(2995/B11*100)</f>
        <v>85.571428571428569</v>
      </c>
      <c r="D11" s="15">
        <v>505</v>
      </c>
      <c r="E11" s="14">
        <v>36.770710690000001</v>
      </c>
      <c r="F11" s="16">
        <v>2.8000884699999999</v>
      </c>
      <c r="G11" s="14">
        <v>34.773450390000001</v>
      </c>
      <c r="H11" s="16">
        <v>2.5145994699999998</v>
      </c>
      <c r="I11" s="14">
        <v>28.455838920000001</v>
      </c>
      <c r="J11" s="16">
        <v>2.4108975799999999</v>
      </c>
      <c r="K11" s="14" t="s">
        <v>139</v>
      </c>
      <c r="L11" s="16" t="s">
        <v>139</v>
      </c>
      <c r="M11" s="14">
        <v>0</v>
      </c>
      <c r="N11" s="16">
        <v>0</v>
      </c>
      <c r="O11" s="14">
        <v>0</v>
      </c>
      <c r="P11" s="16">
        <v>0</v>
      </c>
      <c r="Q11" s="14">
        <v>0</v>
      </c>
      <c r="R11" s="16">
        <v>0</v>
      </c>
      <c r="S11" s="14">
        <v>0</v>
      </c>
      <c r="T11" s="16">
        <v>0</v>
      </c>
    </row>
    <row r="12" spans="1:20" x14ac:dyDescent="0.25">
      <c r="A12" s="11" t="s">
        <v>144</v>
      </c>
      <c r="B12" s="13">
        <v>3422</v>
      </c>
      <c r="C12" s="14">
        <f>(2936/B12*100)</f>
        <v>85.797779076563415</v>
      </c>
      <c r="D12" s="15">
        <v>486</v>
      </c>
      <c r="E12" s="14">
        <v>39.684475120000002</v>
      </c>
      <c r="F12" s="16">
        <v>2.5712874399999999</v>
      </c>
      <c r="G12" s="14">
        <v>18.66096134</v>
      </c>
      <c r="H12" s="16">
        <v>1.9889851999999999</v>
      </c>
      <c r="I12" s="14">
        <v>41.654563539999998</v>
      </c>
      <c r="J12" s="16">
        <v>2.8632025400000001</v>
      </c>
      <c r="K12" s="14" t="s">
        <v>139</v>
      </c>
      <c r="L12" s="16" t="s">
        <v>139</v>
      </c>
      <c r="M12" s="14">
        <v>0</v>
      </c>
      <c r="N12" s="16">
        <v>0</v>
      </c>
      <c r="O12" s="14">
        <v>0</v>
      </c>
      <c r="P12" s="16">
        <v>0</v>
      </c>
      <c r="Q12" s="14">
        <v>0</v>
      </c>
      <c r="R12" s="16">
        <v>0</v>
      </c>
      <c r="S12" s="14">
        <v>0</v>
      </c>
      <c r="T12" s="16">
        <v>0</v>
      </c>
    </row>
    <row r="13" spans="1:20" x14ac:dyDescent="0.25">
      <c r="A13" s="11" t="s">
        <v>145</v>
      </c>
      <c r="B13" s="13">
        <v>3602</v>
      </c>
      <c r="C13" s="14">
        <f>(3072/B13*100)</f>
        <v>85.285952248750689</v>
      </c>
      <c r="D13" s="15">
        <v>530</v>
      </c>
      <c r="E13" s="14">
        <v>29.150012369999999</v>
      </c>
      <c r="F13" s="16">
        <v>2.0010026000000001</v>
      </c>
      <c r="G13" s="14">
        <v>30.841334140000001</v>
      </c>
      <c r="H13" s="16">
        <v>2.66966656</v>
      </c>
      <c r="I13" s="14">
        <v>40.00865349</v>
      </c>
      <c r="J13" s="16">
        <v>2.4334208500000001</v>
      </c>
      <c r="K13" s="14" t="s">
        <v>139</v>
      </c>
      <c r="L13" s="16" t="s">
        <v>139</v>
      </c>
      <c r="M13" s="14">
        <v>0</v>
      </c>
      <c r="N13" s="16">
        <v>0</v>
      </c>
      <c r="O13" s="14">
        <v>0</v>
      </c>
      <c r="P13" s="16">
        <v>0</v>
      </c>
      <c r="Q13" s="14">
        <v>0</v>
      </c>
      <c r="R13" s="16">
        <v>0</v>
      </c>
      <c r="S13" s="14">
        <v>0</v>
      </c>
      <c r="T13" s="16">
        <v>0</v>
      </c>
    </row>
    <row r="14" spans="1:20" x14ac:dyDescent="0.25">
      <c r="A14" s="11" t="s">
        <v>146</v>
      </c>
      <c r="B14" s="13">
        <v>2788</v>
      </c>
      <c r="C14" s="14">
        <f>(2338/B14*100)</f>
        <v>83.859397417503587</v>
      </c>
      <c r="D14" s="15">
        <v>450</v>
      </c>
      <c r="E14" s="14">
        <v>43.289857910000002</v>
      </c>
      <c r="F14" s="16">
        <v>2.78781306</v>
      </c>
      <c r="G14" s="14">
        <v>23.98292232</v>
      </c>
      <c r="H14" s="16">
        <v>2.2190898099999998</v>
      </c>
      <c r="I14" s="14">
        <v>32.727219769999998</v>
      </c>
      <c r="J14" s="16">
        <v>2.4852330999999999</v>
      </c>
      <c r="K14" s="14" t="s">
        <v>139</v>
      </c>
      <c r="L14" s="16" t="s">
        <v>139</v>
      </c>
      <c r="M14" s="14">
        <v>0</v>
      </c>
      <c r="N14" s="16">
        <v>0</v>
      </c>
      <c r="O14" s="14">
        <v>0</v>
      </c>
      <c r="P14" s="16">
        <v>0</v>
      </c>
      <c r="Q14" s="14">
        <v>0</v>
      </c>
      <c r="R14" s="16">
        <v>0</v>
      </c>
      <c r="S14" s="14">
        <v>0</v>
      </c>
      <c r="T14" s="16">
        <v>0</v>
      </c>
    </row>
    <row r="15" spans="1:20" x14ac:dyDescent="0.25">
      <c r="A15" s="11" t="s">
        <v>147</v>
      </c>
      <c r="B15" s="13">
        <v>2863</v>
      </c>
      <c r="C15" s="14">
        <f>(2401/B15*100)</f>
        <v>83.863080684596582</v>
      </c>
      <c r="D15" s="15">
        <v>462</v>
      </c>
      <c r="E15" s="14">
        <v>36.17188487</v>
      </c>
      <c r="F15" s="16">
        <v>2.3248030399999999</v>
      </c>
      <c r="G15" s="14">
        <v>26.900571599999999</v>
      </c>
      <c r="H15" s="16">
        <v>2.1748126000000001</v>
      </c>
      <c r="I15" s="14">
        <v>36.92754352</v>
      </c>
      <c r="J15" s="16">
        <v>2.42014979</v>
      </c>
      <c r="K15" s="14" t="s">
        <v>139</v>
      </c>
      <c r="L15" s="16" t="s">
        <v>139</v>
      </c>
      <c r="M15" s="14">
        <v>0</v>
      </c>
      <c r="N15" s="16">
        <v>0</v>
      </c>
      <c r="O15" s="14">
        <v>0</v>
      </c>
      <c r="P15" s="16">
        <v>0</v>
      </c>
      <c r="Q15" s="14">
        <v>0</v>
      </c>
      <c r="R15" s="16">
        <v>0</v>
      </c>
      <c r="S15" s="14">
        <v>0</v>
      </c>
      <c r="T15" s="16">
        <v>0</v>
      </c>
    </row>
    <row r="16" spans="1:20" x14ac:dyDescent="0.25">
      <c r="A16" s="11" t="s">
        <v>148</v>
      </c>
      <c r="B16" s="13">
        <v>3111</v>
      </c>
      <c r="C16" s="14">
        <f>(2623/B16*100)</f>
        <v>84.313725490196077</v>
      </c>
      <c r="D16" s="15">
        <v>488</v>
      </c>
      <c r="E16" s="14">
        <v>47.979101219999997</v>
      </c>
      <c r="F16" s="16">
        <v>2.2059848999999998</v>
      </c>
      <c r="G16" s="14">
        <v>25.34420957</v>
      </c>
      <c r="H16" s="16">
        <v>2.1398872600000001</v>
      </c>
      <c r="I16" s="14">
        <v>26.676689209999999</v>
      </c>
      <c r="J16" s="16">
        <v>2.0930241999999999</v>
      </c>
      <c r="K16" s="14" t="s">
        <v>139</v>
      </c>
      <c r="L16" s="16" t="s">
        <v>139</v>
      </c>
      <c r="M16" s="14">
        <v>0</v>
      </c>
      <c r="N16" s="16">
        <v>0</v>
      </c>
      <c r="O16" s="14">
        <v>0</v>
      </c>
      <c r="P16" s="16">
        <v>0</v>
      </c>
      <c r="Q16" s="14">
        <v>0</v>
      </c>
      <c r="R16" s="16">
        <v>0</v>
      </c>
      <c r="S16" s="14">
        <v>0</v>
      </c>
      <c r="T16" s="16">
        <v>0</v>
      </c>
    </row>
    <row r="17" spans="1:20" x14ac:dyDescent="0.25">
      <c r="A17" s="11" t="s">
        <v>149</v>
      </c>
      <c r="B17" s="13">
        <v>3197</v>
      </c>
      <c r="C17" s="14">
        <f>(2688/B17*100)</f>
        <v>84.078823897403822</v>
      </c>
      <c r="D17" s="15">
        <v>509</v>
      </c>
      <c r="E17" s="14">
        <v>39.706495650000001</v>
      </c>
      <c r="F17" s="16">
        <v>2.3428572000000001</v>
      </c>
      <c r="G17" s="14">
        <v>24.588485160000001</v>
      </c>
      <c r="H17" s="16">
        <v>2.1664537699999999</v>
      </c>
      <c r="I17" s="14">
        <v>35.705019190000002</v>
      </c>
      <c r="J17" s="16">
        <v>2.5429188699999998</v>
      </c>
      <c r="K17" s="14" t="s">
        <v>139</v>
      </c>
      <c r="L17" s="16" t="s">
        <v>139</v>
      </c>
      <c r="M17" s="14">
        <v>0</v>
      </c>
      <c r="N17" s="16">
        <v>0</v>
      </c>
      <c r="O17" s="14">
        <v>0</v>
      </c>
      <c r="P17" s="16">
        <v>0</v>
      </c>
      <c r="Q17" s="14">
        <v>0</v>
      </c>
      <c r="R17" s="16">
        <v>0</v>
      </c>
      <c r="S17" s="14">
        <v>0</v>
      </c>
      <c r="T17" s="16">
        <v>0</v>
      </c>
    </row>
    <row r="18" spans="1:20" x14ac:dyDescent="0.25">
      <c r="A18" s="11" t="s">
        <v>150</v>
      </c>
      <c r="B18" s="13">
        <v>2706</v>
      </c>
      <c r="C18" s="14">
        <f>(2252/B18*100)</f>
        <v>83.222468588322258</v>
      </c>
      <c r="D18" s="15">
        <v>454</v>
      </c>
      <c r="E18" s="14">
        <v>54.40983464</v>
      </c>
      <c r="F18" s="16">
        <v>2.4671818399999998</v>
      </c>
      <c r="G18" s="14">
        <v>23.84916531</v>
      </c>
      <c r="H18" s="16">
        <v>2.0259514099999998</v>
      </c>
      <c r="I18" s="14">
        <v>21.74100005</v>
      </c>
      <c r="J18" s="16">
        <v>2.21202992</v>
      </c>
      <c r="K18" s="14" t="s">
        <v>139</v>
      </c>
      <c r="L18" s="16" t="s">
        <v>139</v>
      </c>
      <c r="M18" s="14">
        <v>0</v>
      </c>
      <c r="N18" s="16">
        <v>0</v>
      </c>
      <c r="O18" s="14">
        <v>0</v>
      </c>
      <c r="P18" s="16">
        <v>0</v>
      </c>
      <c r="Q18" s="14">
        <v>0</v>
      </c>
      <c r="R18" s="16">
        <v>0</v>
      </c>
      <c r="S18" s="14">
        <v>0</v>
      </c>
      <c r="T18" s="16">
        <v>0</v>
      </c>
    </row>
    <row r="19" spans="1:20" x14ac:dyDescent="0.25">
      <c r="A19" s="11" t="s">
        <v>151</v>
      </c>
      <c r="B19" s="13">
        <v>2850</v>
      </c>
      <c r="C19" s="14">
        <f>(2431/B19*100)</f>
        <v>85.298245614035082</v>
      </c>
      <c r="D19" s="15">
        <v>419</v>
      </c>
      <c r="E19" s="14">
        <v>46.452895079999998</v>
      </c>
      <c r="F19" s="16">
        <v>2.3225877700000002</v>
      </c>
      <c r="G19" s="14">
        <v>23.590998209999999</v>
      </c>
      <c r="H19" s="16">
        <v>1.9142432599999999</v>
      </c>
      <c r="I19" s="14">
        <v>29.95610671</v>
      </c>
      <c r="J19" s="16">
        <v>2.25828148</v>
      </c>
      <c r="K19" s="14" t="s">
        <v>139</v>
      </c>
      <c r="L19" s="16" t="s">
        <v>139</v>
      </c>
      <c r="M19" s="14">
        <v>0</v>
      </c>
      <c r="N19" s="16">
        <v>0</v>
      </c>
      <c r="O19" s="14">
        <v>0</v>
      </c>
      <c r="P19" s="16">
        <v>0</v>
      </c>
      <c r="Q19" s="14">
        <v>0</v>
      </c>
      <c r="R19" s="16">
        <v>0</v>
      </c>
      <c r="S19" s="14">
        <v>0</v>
      </c>
      <c r="T19" s="16">
        <v>0</v>
      </c>
    </row>
    <row r="20" spans="1:20" x14ac:dyDescent="0.25">
      <c r="A20" s="11" t="s">
        <v>152</v>
      </c>
      <c r="B20" s="13">
        <v>1741</v>
      </c>
      <c r="C20" s="14">
        <f>(1474/B20*100)</f>
        <v>84.663986214819062</v>
      </c>
      <c r="D20" s="15">
        <v>267</v>
      </c>
      <c r="E20" s="14">
        <v>38.523536460000003</v>
      </c>
      <c r="F20" s="16">
        <v>2.7362240500000001</v>
      </c>
      <c r="G20" s="14">
        <v>34.746781009999999</v>
      </c>
      <c r="H20" s="16">
        <v>2.4741002999999999</v>
      </c>
      <c r="I20" s="14">
        <v>26.729682530000002</v>
      </c>
      <c r="J20" s="16">
        <v>2.3445152399999998</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3667</v>
      </c>
      <c r="C22" s="14">
        <f>(3178/B22*100)</f>
        <v>86.664848650122721</v>
      </c>
      <c r="D22" s="15">
        <v>489</v>
      </c>
      <c r="E22" s="14">
        <v>56.444668659999998</v>
      </c>
      <c r="F22" s="16">
        <v>2.3172432999999999</v>
      </c>
      <c r="G22" s="14">
        <v>16.455555449999999</v>
      </c>
      <c r="H22" s="16">
        <v>1.6192818200000001</v>
      </c>
      <c r="I22" s="14">
        <v>27.09977589</v>
      </c>
      <c r="J22" s="16">
        <v>1.9531069400000001</v>
      </c>
      <c r="K22" s="14" t="s">
        <v>139</v>
      </c>
      <c r="L22" s="16" t="s">
        <v>139</v>
      </c>
      <c r="M22" s="14">
        <v>0</v>
      </c>
      <c r="N22" s="16">
        <v>0</v>
      </c>
      <c r="O22" s="14">
        <v>0</v>
      </c>
      <c r="P22" s="16">
        <v>0</v>
      </c>
      <c r="Q22" s="14">
        <v>0</v>
      </c>
      <c r="R22" s="16">
        <v>0</v>
      </c>
      <c r="S22" s="14">
        <v>0</v>
      </c>
      <c r="T22" s="16">
        <v>0</v>
      </c>
    </row>
    <row r="23" spans="1:20" x14ac:dyDescent="0.25">
      <c r="A23" s="11" t="s">
        <v>156</v>
      </c>
      <c r="B23" s="13">
        <v>5792</v>
      </c>
      <c r="C23" s="14">
        <f>(4853/B23*100)</f>
        <v>83.787983425414367</v>
      </c>
      <c r="D23" s="15">
        <v>939</v>
      </c>
      <c r="E23" s="14">
        <v>43.619597949999999</v>
      </c>
      <c r="F23" s="16">
        <v>2.4942075899999998</v>
      </c>
      <c r="G23" s="14">
        <v>23.25197395</v>
      </c>
      <c r="H23" s="16">
        <v>2.2248562600000001</v>
      </c>
      <c r="I23" s="14">
        <v>33.128428100000001</v>
      </c>
      <c r="J23" s="16">
        <v>2.1000634800000002</v>
      </c>
      <c r="K23" s="14" t="s">
        <v>139</v>
      </c>
      <c r="L23" s="16" t="s">
        <v>139</v>
      </c>
      <c r="M23" s="14">
        <v>0</v>
      </c>
      <c r="N23" s="16">
        <v>0</v>
      </c>
      <c r="O23" s="14">
        <v>0</v>
      </c>
      <c r="P23" s="16">
        <v>0</v>
      </c>
      <c r="Q23" s="14">
        <v>0</v>
      </c>
      <c r="R23" s="16">
        <v>0</v>
      </c>
      <c r="S23" s="14">
        <v>0</v>
      </c>
      <c r="T23" s="16">
        <v>0</v>
      </c>
    </row>
    <row r="24" spans="1:20" x14ac:dyDescent="0.25">
      <c r="A24" s="11" t="s">
        <v>157</v>
      </c>
      <c r="B24" s="13">
        <v>3309</v>
      </c>
      <c r="C24" s="14">
        <f>(2765/B24*100)</f>
        <v>83.559987911755812</v>
      </c>
      <c r="D24" s="15">
        <v>544</v>
      </c>
      <c r="E24" s="14">
        <v>30.603162040000001</v>
      </c>
      <c r="F24" s="16">
        <v>1.87399099</v>
      </c>
      <c r="G24" s="14">
        <v>43.314182420000002</v>
      </c>
      <c r="H24" s="16">
        <v>2.0207448600000002</v>
      </c>
      <c r="I24" s="14">
        <v>26.082655540000001</v>
      </c>
      <c r="J24" s="16">
        <v>1.7885995800000001</v>
      </c>
      <c r="K24" s="14" t="s">
        <v>139</v>
      </c>
      <c r="L24" s="16" t="s">
        <v>139</v>
      </c>
      <c r="M24" s="14">
        <v>0</v>
      </c>
      <c r="N24" s="16">
        <v>0</v>
      </c>
      <c r="O24" s="14">
        <v>0</v>
      </c>
      <c r="P24" s="16">
        <v>0</v>
      </c>
      <c r="Q24" s="14">
        <v>0</v>
      </c>
      <c r="R24" s="16">
        <v>0</v>
      </c>
      <c r="S24" s="14">
        <v>0</v>
      </c>
      <c r="T24" s="16">
        <v>0</v>
      </c>
    </row>
    <row r="25" spans="1:20" x14ac:dyDescent="0.25">
      <c r="A25" s="11" t="s">
        <v>158</v>
      </c>
      <c r="B25" s="13">
        <v>2669</v>
      </c>
      <c r="C25" s="14">
        <f>(2210/B25*100)</f>
        <v>82.802547770700642</v>
      </c>
      <c r="D25" s="15">
        <v>459</v>
      </c>
      <c r="E25" s="14">
        <v>49.513769830000001</v>
      </c>
      <c r="F25" s="16">
        <v>2.4694839700000002</v>
      </c>
      <c r="G25" s="14">
        <v>24.57136809</v>
      </c>
      <c r="H25" s="16">
        <v>2.0006807700000002</v>
      </c>
      <c r="I25" s="14">
        <v>25.91486209</v>
      </c>
      <c r="J25" s="16">
        <v>1.9880496599999999</v>
      </c>
      <c r="K25" s="14" t="s">
        <v>139</v>
      </c>
      <c r="L25" s="16" t="s">
        <v>139</v>
      </c>
      <c r="M25" s="14">
        <v>0</v>
      </c>
      <c r="N25" s="16">
        <v>0</v>
      </c>
      <c r="O25" s="14">
        <v>0</v>
      </c>
      <c r="P25" s="16">
        <v>0</v>
      </c>
      <c r="Q25" s="14">
        <v>0</v>
      </c>
      <c r="R25" s="16">
        <v>0</v>
      </c>
      <c r="S25" s="14">
        <v>0</v>
      </c>
      <c r="T25" s="16">
        <v>0</v>
      </c>
    </row>
    <row r="26" spans="1:20" x14ac:dyDescent="0.25">
      <c r="A26" s="11" t="s">
        <v>159</v>
      </c>
      <c r="B26" s="13">
        <v>2419</v>
      </c>
      <c r="C26" s="14">
        <f>(2013/B26*100)</f>
        <v>83.216205043406362</v>
      </c>
      <c r="D26" s="15">
        <v>406</v>
      </c>
      <c r="E26" s="14">
        <v>40.479784000000002</v>
      </c>
      <c r="F26" s="16">
        <v>2.2528448499999998</v>
      </c>
      <c r="G26" s="14">
        <v>27.33571143</v>
      </c>
      <c r="H26" s="16">
        <v>2.4212492800000001</v>
      </c>
      <c r="I26" s="14">
        <v>32.184504570000001</v>
      </c>
      <c r="J26" s="16">
        <v>2.1309371800000001</v>
      </c>
      <c r="K26" s="14" t="s">
        <v>139</v>
      </c>
      <c r="L26" s="16" t="s">
        <v>139</v>
      </c>
      <c r="M26" s="14">
        <v>0</v>
      </c>
      <c r="N26" s="16">
        <v>0</v>
      </c>
      <c r="O26" s="14">
        <v>0</v>
      </c>
      <c r="P26" s="16">
        <v>0</v>
      </c>
      <c r="Q26" s="14">
        <v>0</v>
      </c>
      <c r="R26" s="16">
        <v>0</v>
      </c>
      <c r="S26" s="14">
        <v>0</v>
      </c>
      <c r="T26" s="16">
        <v>0</v>
      </c>
    </row>
    <row r="27" spans="1:20" x14ac:dyDescent="0.25">
      <c r="A27" s="11" t="s">
        <v>160</v>
      </c>
      <c r="B27" s="13">
        <v>2683</v>
      </c>
      <c r="C27" s="14">
        <f>(2288/B27*100)</f>
        <v>85.277674245247852</v>
      </c>
      <c r="D27" s="15">
        <v>395</v>
      </c>
      <c r="E27" s="14">
        <v>40.167957960000003</v>
      </c>
      <c r="F27" s="16">
        <v>2.2819445300000001</v>
      </c>
      <c r="G27" s="14">
        <v>27.082847430000001</v>
      </c>
      <c r="H27" s="16">
        <v>2.2559658699999998</v>
      </c>
      <c r="I27" s="14">
        <v>32.749194610000004</v>
      </c>
      <c r="J27" s="16">
        <v>2.2017542799999998</v>
      </c>
      <c r="K27" s="14" t="s">
        <v>139</v>
      </c>
      <c r="L27" s="16" t="s">
        <v>139</v>
      </c>
      <c r="M27" s="14">
        <v>0</v>
      </c>
      <c r="N27" s="16">
        <v>0</v>
      </c>
      <c r="O27" s="14">
        <v>0</v>
      </c>
      <c r="P27" s="16">
        <v>0</v>
      </c>
      <c r="Q27" s="14">
        <v>0</v>
      </c>
      <c r="R27" s="16">
        <v>0</v>
      </c>
      <c r="S27" s="14">
        <v>0</v>
      </c>
      <c r="T27" s="16">
        <v>0</v>
      </c>
    </row>
    <row r="28" spans="1:20" x14ac:dyDescent="0.25">
      <c r="A28" s="11" t="s">
        <v>161</v>
      </c>
      <c r="B28" s="13">
        <v>3803</v>
      </c>
      <c r="C28" s="14">
        <f>(3297/B28*100)</f>
        <v>86.694714698921899</v>
      </c>
      <c r="D28" s="15">
        <v>506</v>
      </c>
      <c r="E28" s="14">
        <v>53.930051489999997</v>
      </c>
      <c r="F28" s="16">
        <v>2.06922293</v>
      </c>
      <c r="G28" s="14">
        <v>27.515888279999999</v>
      </c>
      <c r="H28" s="16">
        <v>2.2197502999999998</v>
      </c>
      <c r="I28" s="14">
        <v>18.554060239999998</v>
      </c>
      <c r="J28" s="16">
        <v>1.7719242900000001</v>
      </c>
      <c r="K28" s="14" t="s">
        <v>139</v>
      </c>
      <c r="L28" s="16" t="s">
        <v>139</v>
      </c>
      <c r="M28" s="14">
        <v>0</v>
      </c>
      <c r="N28" s="16">
        <v>0</v>
      </c>
      <c r="O28" s="14">
        <v>0</v>
      </c>
      <c r="P28" s="16">
        <v>0</v>
      </c>
      <c r="Q28" s="14">
        <v>0</v>
      </c>
      <c r="R28" s="16">
        <v>0</v>
      </c>
      <c r="S28" s="14">
        <v>0</v>
      </c>
      <c r="T28" s="16">
        <v>0</v>
      </c>
    </row>
    <row r="29" spans="1:20" x14ac:dyDescent="0.25">
      <c r="A29" s="11" t="s">
        <v>162</v>
      </c>
      <c r="B29" s="13">
        <v>2700</v>
      </c>
      <c r="C29" s="14">
        <f>(2267/B29*100)</f>
        <v>83.962962962962962</v>
      </c>
      <c r="D29" s="15">
        <v>433</v>
      </c>
      <c r="E29" s="14">
        <v>40.79840171</v>
      </c>
      <c r="F29" s="16">
        <v>2.72593496</v>
      </c>
      <c r="G29" s="14">
        <v>34.077614480000001</v>
      </c>
      <c r="H29" s="16">
        <v>2.2710593000000001</v>
      </c>
      <c r="I29" s="14">
        <v>25.123983809999999</v>
      </c>
      <c r="J29" s="16">
        <v>2.38788388</v>
      </c>
      <c r="K29" s="14" t="s">
        <v>139</v>
      </c>
      <c r="L29" s="16" t="s">
        <v>139</v>
      </c>
      <c r="M29" s="14">
        <v>0</v>
      </c>
      <c r="N29" s="16">
        <v>0</v>
      </c>
      <c r="O29" s="14">
        <v>0</v>
      </c>
      <c r="P29" s="16">
        <v>0</v>
      </c>
      <c r="Q29" s="14">
        <v>0</v>
      </c>
      <c r="R29" s="16">
        <v>0</v>
      </c>
      <c r="S29" s="14">
        <v>0</v>
      </c>
      <c r="T29" s="16">
        <v>0</v>
      </c>
    </row>
    <row r="30" spans="1:20" x14ac:dyDescent="0.25">
      <c r="A30" s="11" t="s">
        <v>163</v>
      </c>
      <c r="B30" s="13">
        <v>2257</v>
      </c>
      <c r="C30" s="14">
        <f>(1955/B30*100)</f>
        <v>86.619406291537445</v>
      </c>
      <c r="D30" s="15">
        <v>302</v>
      </c>
      <c r="E30" s="14">
        <v>35.1024247</v>
      </c>
      <c r="F30" s="16">
        <v>2.8313872099999999</v>
      </c>
      <c r="G30" s="14">
        <v>26.584972700000002</v>
      </c>
      <c r="H30" s="16">
        <v>2.6061600399999998</v>
      </c>
      <c r="I30" s="14">
        <v>38.312602599999998</v>
      </c>
      <c r="J30" s="16">
        <v>2.8743178700000001</v>
      </c>
      <c r="K30" s="14" t="s">
        <v>139</v>
      </c>
      <c r="L30" s="16" t="s">
        <v>139</v>
      </c>
      <c r="M30" s="14">
        <v>0</v>
      </c>
      <c r="N30" s="16">
        <v>0</v>
      </c>
      <c r="O30" s="14">
        <v>0</v>
      </c>
      <c r="P30" s="16">
        <v>0</v>
      </c>
      <c r="Q30" s="14">
        <v>0</v>
      </c>
      <c r="R30" s="16">
        <v>0</v>
      </c>
      <c r="S30" s="14">
        <v>0</v>
      </c>
      <c r="T30" s="16">
        <v>0</v>
      </c>
    </row>
    <row r="31" spans="1:20" x14ac:dyDescent="0.25">
      <c r="A31" s="11" t="s">
        <v>164</v>
      </c>
      <c r="B31" s="13">
        <v>2706</v>
      </c>
      <c r="C31" s="14">
        <f>(2283/B31*100)</f>
        <v>84.368070953436799</v>
      </c>
      <c r="D31" s="15">
        <v>423</v>
      </c>
      <c r="E31" s="14">
        <v>43.996520080000003</v>
      </c>
      <c r="F31" s="16">
        <v>2.2567055499999999</v>
      </c>
      <c r="G31" s="14">
        <v>28.19809652</v>
      </c>
      <c r="H31" s="16">
        <v>2.45270907</v>
      </c>
      <c r="I31" s="14">
        <v>27.8053834</v>
      </c>
      <c r="J31" s="16">
        <v>2.3928820000000002</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3651</v>
      </c>
      <c r="C33" s="14">
        <f>(3142/B33*100)</f>
        <v>86.058614078334699</v>
      </c>
      <c r="D33" s="15">
        <v>509</v>
      </c>
      <c r="E33" s="14">
        <v>35.14011395</v>
      </c>
      <c r="F33" s="16">
        <v>2.38657115</v>
      </c>
      <c r="G33" s="14">
        <v>29.604633249999999</v>
      </c>
      <c r="H33" s="16">
        <v>2.4806520399999998</v>
      </c>
      <c r="I33" s="14">
        <v>35.255252800000001</v>
      </c>
      <c r="J33" s="16">
        <v>2.6953708600000001</v>
      </c>
      <c r="K33" s="14" t="s">
        <v>139</v>
      </c>
      <c r="L33" s="16" t="s">
        <v>139</v>
      </c>
      <c r="M33" s="14">
        <v>0</v>
      </c>
      <c r="N33" s="16">
        <v>0</v>
      </c>
      <c r="O33" s="14">
        <v>0</v>
      </c>
      <c r="P33" s="16">
        <v>0</v>
      </c>
      <c r="Q33" s="14">
        <v>0</v>
      </c>
      <c r="R33" s="16">
        <v>0</v>
      </c>
      <c r="S33" s="14">
        <v>0</v>
      </c>
      <c r="T33" s="16">
        <v>0</v>
      </c>
    </row>
    <row r="34" spans="1:20" x14ac:dyDescent="0.25">
      <c r="A34" s="11" t="s">
        <v>167</v>
      </c>
      <c r="B34" s="13">
        <v>3035</v>
      </c>
      <c r="C34" s="14">
        <f>(2601/B34*100)</f>
        <v>85.700164744645804</v>
      </c>
      <c r="D34" s="15">
        <v>434</v>
      </c>
      <c r="E34" s="14">
        <v>45.441455939999997</v>
      </c>
      <c r="F34" s="16">
        <v>2.2123548899999999</v>
      </c>
      <c r="G34" s="14">
        <v>26.387875789999999</v>
      </c>
      <c r="H34" s="16">
        <v>2.1298726000000001</v>
      </c>
      <c r="I34" s="14">
        <v>28.170668259999999</v>
      </c>
      <c r="J34" s="16">
        <v>2.5261922800000001</v>
      </c>
      <c r="K34" s="14" t="s">
        <v>139</v>
      </c>
      <c r="L34" s="16" t="s">
        <v>139</v>
      </c>
      <c r="M34" s="14">
        <v>0</v>
      </c>
      <c r="N34" s="16">
        <v>0</v>
      </c>
      <c r="O34" s="14">
        <v>0</v>
      </c>
      <c r="P34" s="16">
        <v>0</v>
      </c>
      <c r="Q34" s="14">
        <v>0</v>
      </c>
      <c r="R34" s="16">
        <v>0</v>
      </c>
      <c r="S34" s="14">
        <v>0</v>
      </c>
      <c r="T34" s="16">
        <v>0</v>
      </c>
    </row>
    <row r="35" spans="1:20" x14ac:dyDescent="0.25">
      <c r="A35" s="11" t="s">
        <v>168</v>
      </c>
      <c r="B35" s="13">
        <v>2901</v>
      </c>
      <c r="C35" s="14">
        <f>(2440/B35*100)</f>
        <v>84.108927955877292</v>
      </c>
      <c r="D35" s="15">
        <v>461</v>
      </c>
      <c r="E35" s="14">
        <v>40.511238380000002</v>
      </c>
      <c r="F35" s="16">
        <v>3.3406787900000001</v>
      </c>
      <c r="G35" s="14">
        <v>22.03892402</v>
      </c>
      <c r="H35" s="16">
        <v>2.21693718</v>
      </c>
      <c r="I35" s="14">
        <v>37.449837590000001</v>
      </c>
      <c r="J35" s="16">
        <v>2.7331615600000001</v>
      </c>
      <c r="K35" s="14" t="s">
        <v>139</v>
      </c>
      <c r="L35" s="16" t="s">
        <v>139</v>
      </c>
      <c r="M35" s="14">
        <v>0</v>
      </c>
      <c r="N35" s="16">
        <v>0</v>
      </c>
      <c r="O35" s="14">
        <v>0</v>
      </c>
      <c r="P35" s="16">
        <v>0</v>
      </c>
      <c r="Q35" s="14">
        <v>0</v>
      </c>
      <c r="R35" s="16">
        <v>0</v>
      </c>
      <c r="S35" s="14">
        <v>0</v>
      </c>
      <c r="T35" s="16">
        <v>0</v>
      </c>
    </row>
    <row r="36" spans="1:20" x14ac:dyDescent="0.25">
      <c r="A36" s="11" t="s">
        <v>169</v>
      </c>
      <c r="B36" s="13">
        <v>3404</v>
      </c>
      <c r="C36" s="14">
        <f>(2925/B36*100)</f>
        <v>85.928319623971788</v>
      </c>
      <c r="D36" s="15">
        <v>479</v>
      </c>
      <c r="E36" s="14">
        <v>35.083864149999997</v>
      </c>
      <c r="F36" s="16">
        <v>2.2795954699999998</v>
      </c>
      <c r="G36" s="14">
        <v>26.198925899999999</v>
      </c>
      <c r="H36" s="16">
        <v>2.1673118800000002</v>
      </c>
      <c r="I36" s="14">
        <v>38.717209949999997</v>
      </c>
      <c r="J36" s="16">
        <v>2.3508532999999998</v>
      </c>
      <c r="K36" s="14" t="s">
        <v>139</v>
      </c>
      <c r="L36" s="16" t="s">
        <v>139</v>
      </c>
      <c r="M36" s="14">
        <v>0</v>
      </c>
      <c r="N36" s="16">
        <v>0</v>
      </c>
      <c r="O36" s="14">
        <v>0</v>
      </c>
      <c r="P36" s="16">
        <v>0</v>
      </c>
      <c r="Q36" s="14">
        <v>0</v>
      </c>
      <c r="R36" s="16">
        <v>0</v>
      </c>
      <c r="S36" s="14">
        <v>0</v>
      </c>
      <c r="T36" s="16">
        <v>0</v>
      </c>
    </row>
    <row r="37" spans="1:20" x14ac:dyDescent="0.25">
      <c r="A37" s="11" t="s">
        <v>170</v>
      </c>
      <c r="B37" s="13">
        <v>2731</v>
      </c>
      <c r="C37" s="14">
        <f>(2340/B37*100)</f>
        <v>85.68290003661663</v>
      </c>
      <c r="D37" s="15">
        <v>391</v>
      </c>
      <c r="E37" s="14">
        <v>33.250469270000004</v>
      </c>
      <c r="F37" s="16">
        <v>2.1977673499999999</v>
      </c>
      <c r="G37" s="14">
        <v>28.252853980000001</v>
      </c>
      <c r="H37" s="16">
        <v>2.5134616400000001</v>
      </c>
      <c r="I37" s="14">
        <v>38.49667676</v>
      </c>
      <c r="J37" s="16">
        <v>2.41753193</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2938</v>
      </c>
      <c r="C39" s="14">
        <f>(2421/B39*100)</f>
        <v>82.402995234853634</v>
      </c>
      <c r="D39" s="15">
        <v>517</v>
      </c>
      <c r="E39" s="14">
        <v>62.027816850000001</v>
      </c>
      <c r="F39" s="16">
        <v>2.61434203</v>
      </c>
      <c r="G39" s="14">
        <v>20.047674539999999</v>
      </c>
      <c r="H39" s="16">
        <v>1.9524572899999999</v>
      </c>
      <c r="I39" s="14">
        <v>17.92450861</v>
      </c>
      <c r="J39" s="16">
        <v>1.97434072</v>
      </c>
      <c r="K39" s="14" t="s">
        <v>139</v>
      </c>
      <c r="L39" s="16" t="s">
        <v>139</v>
      </c>
      <c r="M39" s="14">
        <v>0</v>
      </c>
      <c r="N39" s="16">
        <v>0</v>
      </c>
      <c r="O39" s="14">
        <v>0</v>
      </c>
      <c r="P39" s="16">
        <v>0</v>
      </c>
      <c r="Q39" s="14">
        <v>0</v>
      </c>
      <c r="R39" s="16">
        <v>0</v>
      </c>
      <c r="S39" s="14">
        <v>0</v>
      </c>
      <c r="T39" s="16">
        <v>0</v>
      </c>
    </row>
    <row r="40" spans="1:20" x14ac:dyDescent="0.25">
      <c r="A40" s="11" t="s">
        <v>173</v>
      </c>
      <c r="B40" s="13">
        <v>6922</v>
      </c>
      <c r="C40" s="14">
        <f>(5790/B40*100)</f>
        <v>83.646344986997974</v>
      </c>
      <c r="D40" s="15">
        <v>1132</v>
      </c>
      <c r="E40" s="14">
        <v>44.071507650000001</v>
      </c>
      <c r="F40" s="16">
        <v>1.99617398</v>
      </c>
      <c r="G40" s="14">
        <v>20.403997709999999</v>
      </c>
      <c r="H40" s="16">
        <v>1.7600690299999999</v>
      </c>
      <c r="I40" s="14">
        <v>35.524494650000001</v>
      </c>
      <c r="J40" s="16">
        <v>1.75407256</v>
      </c>
      <c r="K40" s="14" t="s">
        <v>139</v>
      </c>
      <c r="L40" s="16" t="s">
        <v>139</v>
      </c>
      <c r="M40" s="14">
        <v>0</v>
      </c>
      <c r="N40" s="16">
        <v>0</v>
      </c>
      <c r="O40" s="14">
        <v>0</v>
      </c>
      <c r="P40" s="16">
        <v>0</v>
      </c>
      <c r="Q40" s="14">
        <v>0</v>
      </c>
      <c r="R40" s="16">
        <v>0</v>
      </c>
      <c r="S40" s="14">
        <v>0</v>
      </c>
      <c r="T40" s="16">
        <v>0</v>
      </c>
    </row>
    <row r="41" spans="1:20" x14ac:dyDescent="0.25">
      <c r="A41" s="11" t="s">
        <v>174</v>
      </c>
      <c r="B41" s="13">
        <v>2854</v>
      </c>
      <c r="C41" s="14">
        <f>(2406/B41*100)</f>
        <v>84.302733006306937</v>
      </c>
      <c r="D41" s="15">
        <v>448</v>
      </c>
      <c r="E41" s="14">
        <v>42.516667839999997</v>
      </c>
      <c r="F41" s="16">
        <v>2.5362732399999999</v>
      </c>
      <c r="G41" s="14">
        <v>22.277659570000001</v>
      </c>
      <c r="H41" s="16">
        <v>1.6520097600000001</v>
      </c>
      <c r="I41" s="14">
        <v>35.205672589999999</v>
      </c>
      <c r="J41" s="16">
        <v>2.5550403500000001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3612.53125</v>
      </c>
      <c r="C42" s="14">
        <f>IF(COUNT(C7:C41) &gt; 0, AVERAGE(C7:C41), "—")</f>
        <v>84.647739948495484</v>
      </c>
      <c r="D42" s="15">
        <f>IF(COUNT(D7:D41) &gt; 0, AVERAGE(D7:D41), "—")</f>
        <v>556.1875</v>
      </c>
      <c r="E42" s="14">
        <f>IF(COUNT(E7:E41) &gt; 0, AVERAGE(E7:E41), "—")</f>
        <v>42.366765655312498</v>
      </c>
      <c r="F42" s="16">
        <f>IF(COUNT(F7:F41) &gt; 0, SQRT(SUMSQ(F7:F41)/(COUNT(F7:F41)*COUNT(F7:F41)) ), "—")</f>
        <v>0.42128370743635474</v>
      </c>
      <c r="G42" s="14">
        <f>IF(COUNT(G7:G41) &gt; 0, AVERAGE(G7:G41), "—")</f>
        <v>26.222755617812499</v>
      </c>
      <c r="H42" s="16">
        <f>IF(COUNT(H7:H41) &gt; 0, SQRT(SUMSQ(H7:H41)/(COUNT(H7:H41)*COUNT(H7:H41)) ), "—")</f>
        <v>0.37970200482546296</v>
      </c>
      <c r="I42" s="14">
        <f>IF(COUNT(I7:I41) &gt; 0, AVERAGE(I7:I41), "—")</f>
        <v>31.410478727187499</v>
      </c>
      <c r="J42" s="16">
        <f>IF(COUNT(J7:J41) &gt; 0, SQRT(SUMSQ(J7:J41)/(COUNT(J7:J41)*COUNT(J7:J41)) ), "—")</f>
        <v>0.40265286045427912</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12073</v>
      </c>
      <c r="C46" s="14">
        <f>(10900/B46*100)</f>
        <v>90.28410502774787</v>
      </c>
      <c r="D46" s="15">
        <v>1173</v>
      </c>
      <c r="E46" s="14">
        <v>56.808905490000001</v>
      </c>
      <c r="F46" s="16">
        <v>2.0279126399999998</v>
      </c>
      <c r="G46" s="14">
        <v>27.007631109999998</v>
      </c>
      <c r="H46" s="16">
        <v>1.77614184</v>
      </c>
      <c r="I46" s="14">
        <v>16.18346339</v>
      </c>
      <c r="J46" s="16">
        <v>1.4995908</v>
      </c>
      <c r="K46" s="14" t="s">
        <v>139</v>
      </c>
      <c r="L46" s="16" t="s">
        <v>139</v>
      </c>
      <c r="M46" s="14">
        <v>0</v>
      </c>
      <c r="N46" s="16">
        <v>0</v>
      </c>
      <c r="O46" s="14">
        <v>0</v>
      </c>
      <c r="P46" s="16">
        <v>0</v>
      </c>
      <c r="Q46" s="14">
        <v>0</v>
      </c>
      <c r="R46" s="16">
        <v>0</v>
      </c>
      <c r="S46" s="14">
        <v>0</v>
      </c>
      <c r="T46" s="16">
        <v>0</v>
      </c>
    </row>
    <row r="47" spans="1:20" x14ac:dyDescent="0.25">
      <c r="A47" s="11" t="s">
        <v>180</v>
      </c>
      <c r="B47" s="13">
        <v>2823</v>
      </c>
      <c r="C47" s="14">
        <f>(2410/B47*100)</f>
        <v>85.370173574211833</v>
      </c>
      <c r="D47" s="15">
        <v>413</v>
      </c>
      <c r="E47" s="14">
        <v>42.706050249999997</v>
      </c>
      <c r="F47" s="16">
        <v>2.52854131</v>
      </c>
      <c r="G47" s="14">
        <v>25.77773024</v>
      </c>
      <c r="H47" s="16">
        <v>2.6116548599999998</v>
      </c>
      <c r="I47" s="14">
        <v>31.516219509999999</v>
      </c>
      <c r="J47" s="16">
        <v>2.3753225900000001</v>
      </c>
      <c r="K47" s="14" t="s">
        <v>139</v>
      </c>
      <c r="L47" s="16" t="s">
        <v>139</v>
      </c>
      <c r="M47" s="14">
        <v>0</v>
      </c>
      <c r="N47" s="16">
        <v>0</v>
      </c>
      <c r="O47" s="14">
        <v>0</v>
      </c>
      <c r="P47" s="16">
        <v>0</v>
      </c>
      <c r="Q47" s="14">
        <v>0</v>
      </c>
      <c r="R47" s="16">
        <v>0</v>
      </c>
      <c r="S47" s="14">
        <v>0</v>
      </c>
      <c r="T47" s="16">
        <v>0</v>
      </c>
    </row>
    <row r="48" spans="1:20" x14ac:dyDescent="0.25">
      <c r="A48" s="11" t="s">
        <v>181</v>
      </c>
      <c r="B48" s="13">
        <v>4682</v>
      </c>
      <c r="C48" s="14">
        <f>(3918/B48*100)</f>
        <v>83.682187099530111</v>
      </c>
      <c r="D48" s="15">
        <v>764</v>
      </c>
      <c r="E48" s="14">
        <v>50.823760890000003</v>
      </c>
      <c r="F48" s="16">
        <v>2.4328645899999999</v>
      </c>
      <c r="G48" s="14">
        <v>17.03356878</v>
      </c>
      <c r="H48" s="16">
        <v>1.79177977</v>
      </c>
      <c r="I48" s="14">
        <v>32.142670340000002</v>
      </c>
      <c r="J48" s="16">
        <v>2.03066155</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6158</v>
      </c>
      <c r="C50" s="14">
        <f>(5288/B50*100)</f>
        <v>85.872036375446569</v>
      </c>
      <c r="D50" s="15">
        <v>870</v>
      </c>
      <c r="E50" s="14">
        <v>48.343947010000001</v>
      </c>
      <c r="F50" s="16">
        <v>2.04365825</v>
      </c>
      <c r="G50" s="14">
        <v>31.631412059999999</v>
      </c>
      <c r="H50" s="16">
        <v>1.96850071</v>
      </c>
      <c r="I50" s="14">
        <v>20.02464093</v>
      </c>
      <c r="J50" s="16">
        <v>1.50358306</v>
      </c>
      <c r="K50" s="14" t="s">
        <v>139</v>
      </c>
      <c r="L50" s="16" t="s">
        <v>139</v>
      </c>
      <c r="M50" s="14">
        <v>0</v>
      </c>
      <c r="N50" s="16">
        <v>0</v>
      </c>
      <c r="O50" s="14">
        <v>0</v>
      </c>
      <c r="P50" s="16">
        <v>0</v>
      </c>
      <c r="Q50" s="14">
        <v>0</v>
      </c>
      <c r="R50" s="16">
        <v>0</v>
      </c>
      <c r="S50" s="14">
        <v>0</v>
      </c>
      <c r="T50" s="16">
        <v>0</v>
      </c>
    </row>
    <row r="51" spans="1:20" x14ac:dyDescent="0.25">
      <c r="A51" s="11" t="s">
        <v>184</v>
      </c>
      <c r="B51" s="13">
        <v>3494</v>
      </c>
      <c r="C51" s="14">
        <f>(3070/B51*100)</f>
        <v>87.864911276473961</v>
      </c>
      <c r="D51" s="15">
        <v>424</v>
      </c>
      <c r="E51" s="14">
        <v>44.963230639999999</v>
      </c>
      <c r="F51" s="16">
        <v>2.6080148300000001</v>
      </c>
      <c r="G51" s="14">
        <v>29.88539703</v>
      </c>
      <c r="H51" s="16">
        <v>2.53513381</v>
      </c>
      <c r="I51" s="14">
        <v>25.151372340000002</v>
      </c>
      <c r="J51" s="16">
        <v>2.1515904899999998</v>
      </c>
      <c r="K51" s="14" t="s">
        <v>139</v>
      </c>
      <c r="L51" s="16" t="s">
        <v>139</v>
      </c>
      <c r="M51" s="14">
        <v>0</v>
      </c>
      <c r="N51" s="16">
        <v>0</v>
      </c>
      <c r="O51" s="14">
        <v>0</v>
      </c>
      <c r="P51" s="16">
        <v>0</v>
      </c>
      <c r="Q51" s="14">
        <v>0</v>
      </c>
      <c r="R51" s="16">
        <v>0</v>
      </c>
      <c r="S51" s="14">
        <v>0</v>
      </c>
      <c r="T51" s="16">
        <v>0</v>
      </c>
    </row>
    <row r="52" spans="1:20" x14ac:dyDescent="0.25">
      <c r="A52" s="11" t="s">
        <v>185</v>
      </c>
      <c r="B52" s="13">
        <v>3013</v>
      </c>
      <c r="C52" s="14">
        <f>(2529/B52*100)</f>
        <v>83.936276136740801</v>
      </c>
      <c r="D52" s="15">
        <v>484</v>
      </c>
      <c r="E52" s="14">
        <v>45.864989690000002</v>
      </c>
      <c r="F52" s="16">
        <v>2.3304932100000002</v>
      </c>
      <c r="G52" s="14">
        <v>19.672003480000001</v>
      </c>
      <c r="H52" s="16">
        <v>1.6987152599999999</v>
      </c>
      <c r="I52" s="14">
        <v>34.463006829999998</v>
      </c>
      <c r="J52" s="16">
        <v>2.3641984699999998</v>
      </c>
      <c r="K52" s="14" t="s">
        <v>139</v>
      </c>
      <c r="L52" s="16" t="s">
        <v>139</v>
      </c>
      <c r="M52" s="14">
        <v>0</v>
      </c>
      <c r="N52" s="16">
        <v>0</v>
      </c>
      <c r="O52" s="14">
        <v>0</v>
      </c>
      <c r="P52" s="16">
        <v>0</v>
      </c>
      <c r="Q52" s="14">
        <v>0</v>
      </c>
      <c r="R52" s="16">
        <v>0</v>
      </c>
      <c r="S52" s="14">
        <v>0</v>
      </c>
      <c r="T52" s="16">
        <v>0</v>
      </c>
    </row>
    <row r="53" spans="1:20" x14ac:dyDescent="0.25">
      <c r="A53" s="11" t="s">
        <v>186</v>
      </c>
      <c r="B53" s="13">
        <v>2760</v>
      </c>
      <c r="C53" s="14">
        <f>(2361/B53*100)</f>
        <v>85.543478260869563</v>
      </c>
      <c r="D53" s="15">
        <v>399</v>
      </c>
      <c r="E53" s="14">
        <v>53.885622820000002</v>
      </c>
      <c r="F53" s="16">
        <v>2.6566727000000001</v>
      </c>
      <c r="G53" s="14">
        <v>24.4116678</v>
      </c>
      <c r="H53" s="16">
        <v>2.3530783500000001</v>
      </c>
      <c r="I53" s="14">
        <v>21.702709380000002</v>
      </c>
      <c r="J53" s="16">
        <v>2.1128849500000002</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2675</v>
      </c>
      <c r="C56" s="14">
        <f>(2213/B56*100)</f>
        <v>82.728971962616825</v>
      </c>
      <c r="D56" s="15">
        <v>462</v>
      </c>
      <c r="E56" s="14">
        <v>33.686628239999997</v>
      </c>
      <c r="F56" s="16">
        <v>2.5660162099999999</v>
      </c>
      <c r="G56" s="14">
        <v>39.971883830000003</v>
      </c>
      <c r="H56" s="16">
        <v>2.3027904800000001</v>
      </c>
      <c r="I56" s="14">
        <v>26.34148794</v>
      </c>
      <c r="J56" s="16">
        <v>2.15004383</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3201</v>
      </c>
      <c r="C61" s="14">
        <f>(2689/B61*100)</f>
        <v>84.004998437988135</v>
      </c>
      <c r="D61" s="15">
        <v>512</v>
      </c>
      <c r="E61" s="14">
        <v>45.945602610000002</v>
      </c>
      <c r="F61" s="16">
        <v>2.0837869000000002</v>
      </c>
      <c r="G61" s="14">
        <v>20.949359980000001</v>
      </c>
      <c r="H61" s="16">
        <v>2.0516771999999999</v>
      </c>
      <c r="I61" s="14">
        <v>33.105037410000001</v>
      </c>
      <c r="J61" s="16">
        <v>2.09599124</v>
      </c>
      <c r="K61" s="14" t="s">
        <v>139</v>
      </c>
      <c r="L61" s="16" t="s">
        <v>139</v>
      </c>
      <c r="M61" s="14">
        <v>0</v>
      </c>
      <c r="N61" s="16">
        <v>0</v>
      </c>
      <c r="O61" s="14">
        <v>0</v>
      </c>
      <c r="P61" s="16">
        <v>0</v>
      </c>
      <c r="Q61" s="14">
        <v>0</v>
      </c>
      <c r="R61" s="16">
        <v>0</v>
      </c>
      <c r="S61" s="14">
        <v>0</v>
      </c>
      <c r="T61" s="16">
        <v>0</v>
      </c>
    </row>
    <row r="62" spans="1:20" x14ac:dyDescent="0.25">
      <c r="A62" s="11" t="s">
        <v>195</v>
      </c>
      <c r="B62" s="13">
        <v>2230</v>
      </c>
      <c r="C62" s="14">
        <f>(1892/B62*100)</f>
        <v>84.843049327354265</v>
      </c>
      <c r="D62" s="15">
        <v>338</v>
      </c>
      <c r="E62" s="14">
        <v>29.682093890000001</v>
      </c>
      <c r="F62" s="16">
        <v>2.5708512300000002</v>
      </c>
      <c r="G62" s="14">
        <v>21.89717812</v>
      </c>
      <c r="H62" s="16">
        <v>2.5652195600000001</v>
      </c>
      <c r="I62" s="14">
        <v>48.420727999999997</v>
      </c>
      <c r="J62" s="16">
        <v>2.9769927699999998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2771</v>
      </c>
      <c r="C66" s="14">
        <f>(2344/B66*100)</f>
        <v>84.590400577408872</v>
      </c>
      <c r="D66" s="15">
        <v>427</v>
      </c>
      <c r="E66" s="14">
        <v>49.247216289999997</v>
      </c>
      <c r="F66" s="16">
        <v>2.44637254</v>
      </c>
      <c r="G66" s="14">
        <v>28.56829188</v>
      </c>
      <c r="H66" s="16">
        <v>2.1522101500000002</v>
      </c>
      <c r="I66" s="14">
        <v>22.184491829999999</v>
      </c>
      <c r="J66" s="16">
        <v>2.1239547299999999</v>
      </c>
      <c r="K66" s="14" t="s">
        <v>139</v>
      </c>
      <c r="L66" s="16" t="s">
        <v>139</v>
      </c>
      <c r="M66" s="14">
        <v>0</v>
      </c>
      <c r="N66" s="16">
        <v>0</v>
      </c>
      <c r="O66" s="14">
        <v>0</v>
      </c>
      <c r="P66" s="16">
        <v>0</v>
      </c>
      <c r="Q66" s="14">
        <v>0</v>
      </c>
      <c r="R66" s="16">
        <v>0</v>
      </c>
      <c r="S66" s="14">
        <v>0</v>
      </c>
      <c r="T66" s="16">
        <v>0</v>
      </c>
    </row>
    <row r="67" spans="1:20" x14ac:dyDescent="0.25">
      <c r="A67" s="11" t="s">
        <v>200</v>
      </c>
      <c r="B67" s="13">
        <v>3460</v>
      </c>
      <c r="C67" s="14">
        <f>(3068/B67*100)</f>
        <v>88.670520231213871</v>
      </c>
      <c r="D67" s="15">
        <v>392</v>
      </c>
      <c r="E67" s="14">
        <v>49.058824680000001</v>
      </c>
      <c r="F67" s="16">
        <v>2.4802636800000002</v>
      </c>
      <c r="G67" s="14">
        <v>28.362874730000001</v>
      </c>
      <c r="H67" s="16">
        <v>2.1607536999999999</v>
      </c>
      <c r="I67" s="14">
        <v>22.578300590000001</v>
      </c>
      <c r="J67" s="16">
        <v>2.2621549999999999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3107</v>
      </c>
      <c r="C70" s="14">
        <f>(2627/B70*100)</f>
        <v>84.551013839716774</v>
      </c>
      <c r="D70" s="15">
        <v>480</v>
      </c>
      <c r="E70" s="14">
        <v>51.084036089999998</v>
      </c>
      <c r="F70" s="16">
        <v>2.70104393</v>
      </c>
      <c r="G70" s="14">
        <v>22.081170759999999</v>
      </c>
      <c r="H70" s="16">
        <v>2.0399235899999999</v>
      </c>
      <c r="I70" s="14">
        <v>26.834793149999999</v>
      </c>
      <c r="J70" s="16">
        <v>2.0859230800000002</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3819</v>
      </c>
      <c r="C72" s="14">
        <f>(3165/B72*100)</f>
        <v>82.875098193244298</v>
      </c>
      <c r="D72" s="15">
        <v>654</v>
      </c>
      <c r="E72" s="14">
        <v>31.6714746</v>
      </c>
      <c r="F72" s="16">
        <v>1.97051924</v>
      </c>
      <c r="G72" s="14">
        <v>44.955423969999998</v>
      </c>
      <c r="H72" s="16">
        <v>2.1040086100000002</v>
      </c>
      <c r="I72" s="14">
        <v>23.373101429999998</v>
      </c>
      <c r="J72" s="16">
        <v>1.5539825899999999</v>
      </c>
      <c r="K72" s="14" t="s">
        <v>139</v>
      </c>
      <c r="L72" s="16" t="s">
        <v>139</v>
      </c>
      <c r="M72" s="14">
        <v>0</v>
      </c>
      <c r="N72" s="16">
        <v>0</v>
      </c>
      <c r="O72" s="14">
        <v>0</v>
      </c>
      <c r="P72" s="16">
        <v>0</v>
      </c>
      <c r="Q72" s="14">
        <v>0</v>
      </c>
      <c r="R72" s="16">
        <v>0</v>
      </c>
      <c r="S72" s="14">
        <v>0</v>
      </c>
      <c r="T72" s="16">
        <v>0</v>
      </c>
    </row>
    <row r="73" spans="1:20" x14ac:dyDescent="0.25">
      <c r="A73" s="11" t="s">
        <v>206</v>
      </c>
      <c r="B73" s="13">
        <v>4652</v>
      </c>
      <c r="C73" s="14">
        <f>(4015/B73*100)</f>
        <v>86.306964746345656</v>
      </c>
      <c r="D73" s="15">
        <v>637</v>
      </c>
      <c r="E73" s="14">
        <v>59.901898369999998</v>
      </c>
      <c r="F73" s="16">
        <v>3.0009088300000002</v>
      </c>
      <c r="G73" s="14">
        <v>18.407311889999999</v>
      </c>
      <c r="H73" s="16">
        <v>2.1208911800000001</v>
      </c>
      <c r="I73" s="14">
        <v>21.69078974</v>
      </c>
      <c r="J73" s="16">
        <v>2.3268719099999999</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2969</v>
      </c>
      <c r="C75" s="14">
        <f>(2562/B75*100)</f>
        <v>86.291680700572584</v>
      </c>
      <c r="D75" s="15">
        <v>407</v>
      </c>
      <c r="E75" s="14">
        <v>68.362444379999999</v>
      </c>
      <c r="F75" s="16">
        <v>2.1710531899999999</v>
      </c>
      <c r="G75" s="14">
        <v>17.913543229999998</v>
      </c>
      <c r="H75" s="16">
        <v>1.8198990799999999</v>
      </c>
      <c r="I75" s="14">
        <v>13.724012399999999</v>
      </c>
      <c r="J75" s="16">
        <v>1.5245884300000001</v>
      </c>
      <c r="K75" s="14" t="s">
        <v>139</v>
      </c>
      <c r="L75" s="16" t="s">
        <v>139</v>
      </c>
      <c r="M75" s="14">
        <v>0</v>
      </c>
      <c r="N75" s="16">
        <v>0</v>
      </c>
      <c r="O75" s="14">
        <v>0</v>
      </c>
      <c r="P75" s="16">
        <v>0</v>
      </c>
      <c r="Q75" s="14">
        <v>0</v>
      </c>
      <c r="R75" s="16">
        <v>0</v>
      </c>
      <c r="S75" s="14">
        <v>0</v>
      </c>
      <c r="T75" s="16">
        <v>0</v>
      </c>
    </row>
    <row r="76" spans="1:20" x14ac:dyDescent="0.25">
      <c r="A76" s="11" t="s">
        <v>209</v>
      </c>
      <c r="B76" s="13">
        <v>7115</v>
      </c>
      <c r="C76" s="14">
        <f>(5933/B76*100)</f>
        <v>83.387210119465919</v>
      </c>
      <c r="D76" s="15">
        <v>1182</v>
      </c>
      <c r="E76" s="14">
        <v>55.019043859999996</v>
      </c>
      <c r="F76" s="16">
        <v>1.61118615</v>
      </c>
      <c r="G76" s="14">
        <v>24.445001210000001</v>
      </c>
      <c r="H76" s="16">
        <v>1.6635449099999999</v>
      </c>
      <c r="I76" s="14">
        <v>20.535954929999999</v>
      </c>
      <c r="J76" s="16">
        <v>1.9563732199999999</v>
      </c>
      <c r="K76" s="14" t="s">
        <v>139</v>
      </c>
      <c r="L76" s="16" t="s">
        <v>139</v>
      </c>
      <c r="M76" s="14">
        <v>0</v>
      </c>
      <c r="N76" s="16">
        <v>0</v>
      </c>
      <c r="O76" s="14">
        <v>0</v>
      </c>
      <c r="P76" s="16">
        <v>0</v>
      </c>
      <c r="Q76" s="14">
        <v>0</v>
      </c>
      <c r="R76" s="16">
        <v>0</v>
      </c>
      <c r="S76" s="14">
        <v>0</v>
      </c>
      <c r="T76" s="16">
        <v>0</v>
      </c>
    </row>
    <row r="77" spans="1:20" x14ac:dyDescent="0.25">
      <c r="A77" s="11" t="s">
        <v>210</v>
      </c>
      <c r="B77" s="13">
        <v>3154</v>
      </c>
      <c r="C77" s="14">
        <f>(2706/B77*100)</f>
        <v>85.795814838300572</v>
      </c>
      <c r="D77" s="15">
        <v>448</v>
      </c>
      <c r="E77" s="14">
        <v>53.089767369999997</v>
      </c>
      <c r="F77" s="16">
        <v>2.8717805099999998</v>
      </c>
      <c r="G77" s="14">
        <v>25.09943728</v>
      </c>
      <c r="H77" s="16">
        <v>2.08001389</v>
      </c>
      <c r="I77" s="14">
        <v>21.810795349999999</v>
      </c>
      <c r="J77" s="16">
        <v>2.0378317400000001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4698</v>
      </c>
      <c r="C81" s="14">
        <f>(3933/B81*100)</f>
        <v>83.716475095785441</v>
      </c>
      <c r="D81" s="15">
        <v>765</v>
      </c>
      <c r="E81" s="14">
        <v>46.964818800000003</v>
      </c>
      <c r="F81" s="16">
        <v>2.2368918099999999</v>
      </c>
      <c r="G81" s="14">
        <v>30.176853770000001</v>
      </c>
      <c r="H81" s="16">
        <v>2.2011087100000002</v>
      </c>
      <c r="I81" s="14">
        <v>22.858327429999999</v>
      </c>
      <c r="J81" s="16">
        <v>1.87843772</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122</vt:i4>
      </vt:variant>
    </vt:vector>
  </HeadingPairs>
  <TitlesOfParts>
    <vt:vector size="122" baseType="lpstr">
      <vt:lpstr>Table of Contents</vt:lpstr>
      <vt:lpstr>CC104101</vt:lpstr>
      <vt:lpstr>CC104102</vt:lpstr>
      <vt:lpstr>CC104103</vt:lpstr>
      <vt:lpstr>CC104104</vt:lpstr>
      <vt:lpstr>CC104105</vt:lpstr>
      <vt:lpstr>CC104106</vt:lpstr>
      <vt:lpstr>CC104107</vt:lpstr>
      <vt:lpstr>CC104201</vt:lpstr>
      <vt:lpstr>CC104202</vt:lpstr>
      <vt:lpstr>CC104203</vt:lpstr>
      <vt:lpstr>CC104204</vt:lpstr>
      <vt:lpstr>CC104205</vt:lpstr>
      <vt:lpstr>CC104206</vt:lpstr>
      <vt:lpstr>CC104301C</vt:lpstr>
      <vt:lpstr>CC104303</vt:lpstr>
      <vt:lpstr>CC104305</vt:lpstr>
      <vt:lpstr>CC104306</vt:lpstr>
      <vt:lpstr>CC106101</vt:lpstr>
      <vt:lpstr>CC106102</vt:lpstr>
      <vt:lpstr>CC106103</vt:lpstr>
      <vt:lpstr>CC106104</vt:lpstr>
      <vt:lpstr>CC106105</vt:lpstr>
      <vt:lpstr>CC106106</vt:lpstr>
      <vt:lpstr>CC106107C</vt:lpstr>
      <vt:lpstr>CC106201</vt:lpstr>
      <vt:lpstr>CC106202</vt:lpstr>
      <vt:lpstr>CC106203</vt:lpstr>
      <vt:lpstr>CC106204</vt:lpstr>
      <vt:lpstr>CC106205</vt:lpstr>
      <vt:lpstr>CC106206</vt:lpstr>
      <vt:lpstr>CC106207</vt:lpstr>
      <vt:lpstr>CC106208</vt:lpstr>
      <vt:lpstr>CC106209</vt:lpstr>
      <vt:lpstr>CC106301</vt:lpstr>
      <vt:lpstr>CC106302</vt:lpstr>
      <vt:lpstr>CC106303</vt:lpstr>
      <vt:lpstr>CC106304</vt:lpstr>
      <vt:lpstr>CC106305</vt:lpstr>
      <vt:lpstr>CC106306</vt:lpstr>
      <vt:lpstr>CC106307</vt:lpstr>
      <vt:lpstr>CC102101</vt:lpstr>
      <vt:lpstr>CC102102C</vt:lpstr>
      <vt:lpstr>CC102201</vt:lpstr>
      <vt:lpstr>CC102202</vt:lpstr>
      <vt:lpstr>CC102203</vt:lpstr>
      <vt:lpstr>CC102204</vt:lpstr>
      <vt:lpstr>CC102205</vt:lpstr>
      <vt:lpstr>CC102206</vt:lpstr>
      <vt:lpstr>CC102207</vt:lpstr>
      <vt:lpstr>CC102208</vt:lpstr>
      <vt:lpstr>CC102209C</vt:lpstr>
      <vt:lpstr>CC102212</vt:lpstr>
      <vt:lpstr>CC102213</vt:lpstr>
      <vt:lpstr>CC103101</vt:lpstr>
      <vt:lpstr>CC103102</vt:lpstr>
      <vt:lpstr>CC103103</vt:lpstr>
      <vt:lpstr>CC103104</vt:lpstr>
      <vt:lpstr>CC103105</vt:lpstr>
      <vt:lpstr>CC103106</vt:lpstr>
      <vt:lpstr>CC103107</vt:lpstr>
      <vt:lpstr>CC103108C</vt:lpstr>
      <vt:lpstr>CC103201</vt:lpstr>
      <vt:lpstr>CC103202</vt:lpstr>
      <vt:lpstr>CC103203</vt:lpstr>
      <vt:lpstr>CC103204</vt:lpstr>
      <vt:lpstr>CC103205</vt:lpstr>
      <vt:lpstr>CC103206</vt:lpstr>
      <vt:lpstr>CC103207</vt:lpstr>
      <vt:lpstr>CC103209</vt:lpstr>
      <vt:lpstr>CC103210</vt:lpstr>
      <vt:lpstr>CC103211</vt:lpstr>
      <vt:lpstr>CC103301</vt:lpstr>
      <vt:lpstr>CC103302</vt:lpstr>
      <vt:lpstr>CC103303</vt:lpstr>
      <vt:lpstr>CC103304</vt:lpstr>
      <vt:lpstr>CC103305</vt:lpstr>
      <vt:lpstr>CC103306</vt:lpstr>
      <vt:lpstr>CC103307</vt:lpstr>
      <vt:lpstr>CC103308</vt:lpstr>
      <vt:lpstr>CC103309</vt:lpstr>
      <vt:lpstr>CC100101</vt:lpstr>
      <vt:lpstr>CC100102</vt:lpstr>
      <vt:lpstr>CC100103</vt:lpstr>
      <vt:lpstr>CC100104</vt:lpstr>
      <vt:lpstr>CC100105</vt:lpstr>
      <vt:lpstr>CC100201</vt:lpstr>
      <vt:lpstr>CC100202</vt:lpstr>
      <vt:lpstr>CC100203</vt:lpstr>
      <vt:lpstr>CC100301</vt:lpstr>
      <vt:lpstr>CC100302</vt:lpstr>
      <vt:lpstr>CC100401</vt:lpstr>
      <vt:lpstr>CC100402</vt:lpstr>
      <vt:lpstr>CC105101</vt:lpstr>
      <vt:lpstr>CC105102</vt:lpstr>
      <vt:lpstr>CC105103C</vt:lpstr>
      <vt:lpstr>CC105105C</vt:lpstr>
      <vt:lpstr>CC105108C</vt:lpstr>
      <vt:lpstr>CC105201C</vt:lpstr>
      <vt:lpstr>CC105203C</vt:lpstr>
      <vt:lpstr>CC105205</vt:lpstr>
      <vt:lpstr>CC105206</vt:lpstr>
      <vt:lpstr>CC105207</vt:lpstr>
      <vt:lpstr>CC105208C</vt:lpstr>
      <vt:lpstr>CC105211</vt:lpstr>
      <vt:lpstr>CC105212C</vt:lpstr>
      <vt:lpstr>CC105214</vt:lpstr>
      <vt:lpstr>CC105301</vt:lpstr>
      <vt:lpstr>CC105302</vt:lpstr>
      <vt:lpstr>CC105303</vt:lpstr>
      <vt:lpstr>CC105304C</vt:lpstr>
      <vt:lpstr>CC105306</vt:lpstr>
      <vt:lpstr>CC105307</vt:lpstr>
      <vt:lpstr>CC105308C</vt:lpstr>
      <vt:lpstr>CC105401</vt:lpstr>
      <vt:lpstr>CC105402</vt:lpstr>
      <vt:lpstr>CC105403</vt:lpstr>
      <vt:lpstr>CC105404</vt:lpstr>
      <vt:lpstr>CC105405</vt:lpstr>
      <vt:lpstr>CC105406</vt:lpstr>
      <vt:lpstr>CC105407</vt:lpstr>
      <vt:lpstr>CC105408C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GUILLOU Helene</cp:lastModifiedBy>
  <cp:revision/>
  <dcterms:created xsi:type="dcterms:W3CDTF">2017-01-11T12:21:48Z</dcterms:created>
  <dcterms:modified xsi:type="dcterms:W3CDTF">2017-11-23T15:21:25Z</dcterms:modified>
  <cp:category/>
  <dc:identifier/>
  <cp:contentStatus/>
  <dc:language/>
  <cp:version/>
</cp:coreProperties>
</file>