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630" yWindow="675" windowWidth="27495" windowHeight="11130"/>
  </bookViews>
  <sheets>
    <sheet name="Table of Contents" sheetId="1" r:id="rId1"/>
    <sheet name="CC104101" sheetId="2" r:id="rId2"/>
    <sheet name="CC104102" sheetId="3" r:id="rId3"/>
    <sheet name="CC104103" sheetId="4" r:id="rId4"/>
    <sheet name="CC104104" sheetId="5" r:id="rId5"/>
    <sheet name="CC104105" sheetId="6" r:id="rId6"/>
    <sheet name="CC104106" sheetId="7" r:id="rId7"/>
    <sheet name="CC104107" sheetId="8" r:id="rId8"/>
    <sheet name="CC104201" sheetId="9" r:id="rId9"/>
    <sheet name="CC104202" sheetId="10" r:id="rId10"/>
    <sheet name="CC104203" sheetId="11" r:id="rId11"/>
    <sheet name="CC104204" sheetId="12" r:id="rId12"/>
    <sheet name="CC104205" sheetId="13" r:id="rId13"/>
    <sheet name="CC104206" sheetId="14" r:id="rId14"/>
    <sheet name="CC104301C" sheetId="15" r:id="rId15"/>
    <sheet name="CC104303" sheetId="16" r:id="rId16"/>
    <sheet name="CC104305" sheetId="17" r:id="rId17"/>
    <sheet name="CC104306" sheetId="18" r:id="rId18"/>
    <sheet name="CC106101" sheetId="19" r:id="rId19"/>
    <sheet name="CC106102" sheetId="20" r:id="rId20"/>
    <sheet name="CC106103" sheetId="21" r:id="rId21"/>
    <sheet name="CC106104" sheetId="22" r:id="rId22"/>
    <sheet name="CC106105" sheetId="23" r:id="rId23"/>
    <sheet name="CC106106" sheetId="24" r:id="rId24"/>
    <sheet name="CC106107C" sheetId="25" r:id="rId25"/>
    <sheet name="CC106201" sheetId="26" r:id="rId26"/>
    <sheet name="CC106202" sheetId="27" r:id="rId27"/>
    <sheet name="CC106203" sheetId="28" r:id="rId28"/>
    <sheet name="CC106204" sheetId="29" r:id="rId29"/>
    <sheet name="CC106205" sheetId="30" r:id="rId30"/>
    <sheet name="CC106206" sheetId="31" r:id="rId31"/>
    <sheet name="CC106207" sheetId="32" r:id="rId32"/>
    <sheet name="CC106208" sheetId="33" r:id="rId33"/>
    <sheet name="CC106209" sheetId="34" r:id="rId34"/>
    <sheet name="CC106301" sheetId="35" r:id="rId35"/>
    <sheet name="CC106302" sheetId="36" r:id="rId36"/>
    <sheet name="CC106303" sheetId="37" r:id="rId37"/>
    <sheet name="CC106304" sheetId="38" r:id="rId38"/>
    <sheet name="CC106305" sheetId="39" r:id="rId39"/>
    <sheet name="CC106306" sheetId="40" r:id="rId40"/>
    <sheet name="CC106307" sheetId="41" r:id="rId41"/>
    <sheet name="CC102101" sheetId="42" r:id="rId42"/>
    <sheet name="CC102102C" sheetId="43" r:id="rId43"/>
    <sheet name="CC102201" sheetId="44" r:id="rId44"/>
    <sheet name="CC102202" sheetId="45" r:id="rId45"/>
    <sheet name="CC102203" sheetId="46" r:id="rId46"/>
    <sheet name="CC102204" sheetId="47" r:id="rId47"/>
    <sheet name="CC102205" sheetId="48" r:id="rId48"/>
    <sheet name="CC102206" sheetId="49" r:id="rId49"/>
    <sheet name="CC102207" sheetId="50" r:id="rId50"/>
    <sheet name="CC102208" sheetId="51" r:id="rId51"/>
    <sheet name="CC102209C" sheetId="52" r:id="rId52"/>
    <sheet name="CC102212" sheetId="53" r:id="rId53"/>
    <sheet name="CC102213" sheetId="54" r:id="rId54"/>
    <sheet name="CC103101" sheetId="55" r:id="rId55"/>
    <sheet name="CC103102" sheetId="56" r:id="rId56"/>
    <sheet name="CC103103" sheetId="57" r:id="rId57"/>
    <sheet name="CC103104" sheetId="58" r:id="rId58"/>
    <sheet name="CC103105" sheetId="59" r:id="rId59"/>
    <sheet name="CC103106" sheetId="60" r:id="rId60"/>
    <sheet name="CC103107" sheetId="61" r:id="rId61"/>
    <sheet name="CC103108C" sheetId="62" r:id="rId62"/>
    <sheet name="CC103201" sheetId="63" r:id="rId63"/>
    <sheet name="CC103202" sheetId="64" r:id="rId64"/>
    <sheet name="CC103203" sheetId="65" r:id="rId65"/>
    <sheet name="CC103204" sheetId="66" r:id="rId66"/>
    <sheet name="CC103205" sheetId="67" r:id="rId67"/>
    <sheet name="CC103206" sheetId="68" r:id="rId68"/>
    <sheet name="CC103207" sheetId="69" r:id="rId69"/>
    <sheet name="CC103209" sheetId="70" r:id="rId70"/>
    <sheet name="CC103210" sheetId="71" r:id="rId71"/>
    <sheet name="CC103211" sheetId="72" r:id="rId72"/>
    <sheet name="CC103301" sheetId="73" r:id="rId73"/>
    <sheet name="CC103302" sheetId="74" r:id="rId74"/>
    <sheet name="CC103303" sheetId="75" r:id="rId75"/>
    <sheet name="CC103304" sheetId="76" r:id="rId76"/>
    <sheet name="CC103305" sheetId="77" r:id="rId77"/>
    <sheet name="CC103306" sheetId="78" r:id="rId78"/>
    <sheet name="CC103307" sheetId="79" r:id="rId79"/>
    <sheet name="CC103308" sheetId="80" r:id="rId80"/>
    <sheet name="CC103309" sheetId="81" r:id="rId81"/>
    <sheet name="CC100101" sheetId="82" r:id="rId82"/>
    <sheet name="CC100102" sheetId="83" r:id="rId83"/>
    <sheet name="CC100103" sheetId="84" r:id="rId84"/>
    <sheet name="CC100104" sheetId="85" r:id="rId85"/>
    <sheet name="CC100105" sheetId="86" r:id="rId86"/>
    <sheet name="CC100201" sheetId="87" r:id="rId87"/>
    <sheet name="CC100202" sheetId="88" r:id="rId88"/>
    <sheet name="CC100203" sheetId="89" r:id="rId89"/>
    <sheet name="CC100301" sheetId="90" r:id="rId90"/>
    <sheet name="CC100302" sheetId="91" r:id="rId91"/>
    <sheet name="CC100401" sheetId="92" r:id="rId92"/>
    <sheet name="CC100402" sheetId="93" r:id="rId93"/>
    <sheet name="CC105101" sheetId="94" r:id="rId94"/>
    <sheet name="CC105102" sheetId="95" r:id="rId95"/>
    <sheet name="CC105103C" sheetId="96" r:id="rId96"/>
    <sheet name="CC105105C" sheetId="97" r:id="rId97"/>
    <sheet name="CC105108C" sheetId="98" r:id="rId98"/>
    <sheet name="CC105201C" sheetId="99" r:id="rId99"/>
    <sheet name="CC105203C" sheetId="100" r:id="rId100"/>
    <sheet name="CC105205" sheetId="101" r:id="rId101"/>
    <sheet name="CC105206" sheetId="102" r:id="rId102"/>
    <sheet name="CC105207" sheetId="103" r:id="rId103"/>
    <sheet name="CC105208C" sheetId="104" r:id="rId104"/>
    <sheet name="CC105211" sheetId="105" r:id="rId105"/>
    <sheet name="CC105212C" sheetId="106" r:id="rId106"/>
    <sheet name="CC105214" sheetId="107" r:id="rId107"/>
    <sheet name="CC105301" sheetId="108" r:id="rId108"/>
    <sheet name="CC105302" sheetId="109" r:id="rId109"/>
    <sheet name="CC105303" sheetId="110" r:id="rId110"/>
    <sheet name="CC105304C" sheetId="111" r:id="rId111"/>
    <sheet name="CC105306" sheetId="112" r:id="rId112"/>
    <sheet name="CC105307" sheetId="113" r:id="rId113"/>
    <sheet name="CC105308C" sheetId="114" r:id="rId114"/>
    <sheet name="CC105401" sheetId="115" r:id="rId115"/>
    <sheet name="CC105402" sheetId="116" r:id="rId116"/>
    <sheet name="CC105403" sheetId="117" r:id="rId117"/>
    <sheet name="CC105404" sheetId="118" r:id="rId118"/>
    <sheet name="CC105405" sheetId="119" r:id="rId119"/>
    <sheet name="CC105406" sheetId="120" r:id="rId120"/>
    <sheet name="CC105407" sheetId="121" r:id="rId121"/>
    <sheet name="CC105408C" sheetId="122" r:id="rId122"/>
  </sheets>
  <calcPr calcId="145621"/>
</workbook>
</file>

<file path=xl/calcChain.xml><?xml version="1.0" encoding="utf-8"?>
<calcChain xmlns="http://schemas.openxmlformats.org/spreadsheetml/2006/main">
  <c r="C81" i="122" l="1"/>
  <c r="C77" i="122"/>
  <c r="C76" i="122"/>
  <c r="C75" i="122"/>
  <c r="C73" i="122"/>
  <c r="C72" i="122"/>
  <c r="C70" i="122"/>
  <c r="C67" i="122"/>
  <c r="C66" i="122"/>
  <c r="C62" i="122"/>
  <c r="C61" i="122"/>
  <c r="C56" i="122"/>
  <c r="C53" i="122"/>
  <c r="C52" i="122"/>
  <c r="C51" i="122"/>
  <c r="C50" i="122"/>
  <c r="C48" i="122"/>
  <c r="C47" i="122"/>
  <c r="C46" i="122"/>
  <c r="T42" i="122"/>
  <c r="S42" i="122"/>
  <c r="R42" i="122"/>
  <c r="Q42" i="122"/>
  <c r="P42" i="122"/>
  <c r="O42" i="122"/>
  <c r="N42" i="122"/>
  <c r="M42" i="122"/>
  <c r="L42" i="122"/>
  <c r="K42" i="122"/>
  <c r="J42" i="122"/>
  <c r="I42" i="122"/>
  <c r="H42" i="122"/>
  <c r="G42" i="122"/>
  <c r="F42" i="122"/>
  <c r="E42" i="122"/>
  <c r="D42" i="122"/>
  <c r="B42" i="122"/>
  <c r="C41" i="122"/>
  <c r="C40" i="122"/>
  <c r="C39" i="122"/>
  <c r="C37" i="122"/>
  <c r="C36" i="122"/>
  <c r="C35" i="122"/>
  <c r="C34" i="122"/>
  <c r="C33" i="122"/>
  <c r="C31" i="122"/>
  <c r="C30" i="122"/>
  <c r="C29" i="122"/>
  <c r="C28" i="122"/>
  <c r="C27" i="122"/>
  <c r="C26" i="122"/>
  <c r="C25" i="122"/>
  <c r="C24" i="122"/>
  <c r="C23" i="122"/>
  <c r="C22" i="122"/>
  <c r="C20" i="122"/>
  <c r="C19" i="122"/>
  <c r="C18" i="122"/>
  <c r="C17" i="122"/>
  <c r="C16" i="122"/>
  <c r="C15" i="122"/>
  <c r="C14" i="122"/>
  <c r="C13" i="122"/>
  <c r="C12" i="122"/>
  <c r="C11" i="122"/>
  <c r="C10" i="122"/>
  <c r="C9" i="122"/>
  <c r="C8" i="122"/>
  <c r="C42" i="122" s="1"/>
  <c r="C7" i="122"/>
  <c r="C81" i="121"/>
  <c r="C77" i="121"/>
  <c r="C76" i="121"/>
  <c r="C75" i="121"/>
  <c r="C73" i="121"/>
  <c r="C72" i="121"/>
  <c r="C70" i="121"/>
  <c r="C67" i="121"/>
  <c r="C66" i="121"/>
  <c r="C62" i="121"/>
  <c r="C61" i="121"/>
  <c r="C56" i="121"/>
  <c r="C53" i="121"/>
  <c r="C52" i="121"/>
  <c r="C51" i="121"/>
  <c r="C50" i="121"/>
  <c r="C48" i="121"/>
  <c r="C47" i="121"/>
  <c r="C46" i="121"/>
  <c r="R42" i="121"/>
  <c r="Q42" i="121"/>
  <c r="P42" i="121"/>
  <c r="O42" i="121"/>
  <c r="N42" i="121"/>
  <c r="M42" i="121"/>
  <c r="L42" i="121"/>
  <c r="K42" i="121"/>
  <c r="J42" i="121"/>
  <c r="I42" i="121"/>
  <c r="H42" i="121"/>
  <c r="G42" i="121"/>
  <c r="F42" i="121"/>
  <c r="E42" i="121"/>
  <c r="D42" i="121"/>
  <c r="B42" i="121"/>
  <c r="C41" i="121"/>
  <c r="C40" i="121"/>
  <c r="C39" i="121"/>
  <c r="C37" i="121"/>
  <c r="C36" i="121"/>
  <c r="C35" i="121"/>
  <c r="C34" i="121"/>
  <c r="C33" i="121"/>
  <c r="C31" i="121"/>
  <c r="C30" i="121"/>
  <c r="C29" i="121"/>
  <c r="C28" i="121"/>
  <c r="C27" i="121"/>
  <c r="C26" i="121"/>
  <c r="C25" i="121"/>
  <c r="C24" i="121"/>
  <c r="C23" i="121"/>
  <c r="C22" i="121"/>
  <c r="C20" i="121"/>
  <c r="C19" i="121"/>
  <c r="C18" i="121"/>
  <c r="C17" i="121"/>
  <c r="C16" i="121"/>
  <c r="C15" i="121"/>
  <c r="C14" i="121"/>
  <c r="C13" i="121"/>
  <c r="C12" i="121"/>
  <c r="C11" i="121"/>
  <c r="C10" i="121"/>
  <c r="C9" i="121"/>
  <c r="C8" i="121"/>
  <c r="C42" i="121" s="1"/>
  <c r="C7" i="121"/>
  <c r="C81" i="120"/>
  <c r="C77" i="120"/>
  <c r="C76" i="120"/>
  <c r="C75" i="120"/>
  <c r="C73" i="120"/>
  <c r="C72" i="120"/>
  <c r="C70" i="120"/>
  <c r="C67" i="120"/>
  <c r="C66" i="120"/>
  <c r="C62" i="120"/>
  <c r="C61" i="120"/>
  <c r="C56" i="120"/>
  <c r="C53" i="120"/>
  <c r="C52" i="120"/>
  <c r="C51" i="120"/>
  <c r="C50" i="120"/>
  <c r="C48" i="120"/>
  <c r="C47" i="120"/>
  <c r="C46" i="120"/>
  <c r="R42" i="120"/>
  <c r="Q42" i="120"/>
  <c r="P42" i="120"/>
  <c r="O42" i="120"/>
  <c r="N42" i="120"/>
  <c r="M42" i="120"/>
  <c r="L42" i="120"/>
  <c r="K42" i="120"/>
  <c r="J42" i="120"/>
  <c r="I42" i="120"/>
  <c r="H42" i="120"/>
  <c r="G42" i="120"/>
  <c r="F42" i="120"/>
  <c r="E42" i="120"/>
  <c r="D42" i="120"/>
  <c r="B42" i="120"/>
  <c r="C41" i="120"/>
  <c r="C40" i="120"/>
  <c r="C39" i="120"/>
  <c r="C37" i="120"/>
  <c r="C36" i="120"/>
  <c r="C35" i="120"/>
  <c r="C34" i="120"/>
  <c r="C33" i="120"/>
  <c r="C31" i="120"/>
  <c r="C30" i="120"/>
  <c r="C29" i="120"/>
  <c r="C28" i="120"/>
  <c r="C27" i="120"/>
  <c r="C26" i="120"/>
  <c r="C25" i="120"/>
  <c r="C24" i="120"/>
  <c r="C23" i="120"/>
  <c r="C22" i="120"/>
  <c r="C20" i="120"/>
  <c r="C19" i="120"/>
  <c r="C18" i="120"/>
  <c r="C17" i="120"/>
  <c r="C16" i="120"/>
  <c r="C15" i="120"/>
  <c r="C14" i="120"/>
  <c r="C13" i="120"/>
  <c r="C12" i="120"/>
  <c r="C11" i="120"/>
  <c r="C10" i="120"/>
  <c r="C9" i="120"/>
  <c r="C8" i="120"/>
  <c r="C42" i="120" s="1"/>
  <c r="C7" i="120"/>
  <c r="C81" i="119"/>
  <c r="C77" i="119"/>
  <c r="C76" i="119"/>
  <c r="C75" i="119"/>
  <c r="C73" i="119"/>
  <c r="C72" i="119"/>
  <c r="C70" i="119"/>
  <c r="C67" i="119"/>
  <c r="C66" i="119"/>
  <c r="C62" i="119"/>
  <c r="C61" i="119"/>
  <c r="C56" i="119"/>
  <c r="C53" i="119"/>
  <c r="C52" i="119"/>
  <c r="C51" i="119"/>
  <c r="C50" i="119"/>
  <c r="C48" i="119"/>
  <c r="C47" i="119"/>
  <c r="C46" i="119"/>
  <c r="R42" i="119"/>
  <c r="Q42" i="119"/>
  <c r="P42" i="119"/>
  <c r="O42" i="119"/>
  <c r="N42" i="119"/>
  <c r="M42" i="119"/>
  <c r="L42" i="119"/>
  <c r="K42" i="119"/>
  <c r="J42" i="119"/>
  <c r="I42" i="119"/>
  <c r="H42" i="119"/>
  <c r="G42" i="119"/>
  <c r="F42" i="119"/>
  <c r="E42" i="119"/>
  <c r="D42" i="119"/>
  <c r="B42" i="119"/>
  <c r="C41" i="119"/>
  <c r="C40" i="119"/>
  <c r="C39" i="119"/>
  <c r="C37" i="119"/>
  <c r="C36" i="119"/>
  <c r="C35" i="119"/>
  <c r="C34" i="119"/>
  <c r="C33" i="119"/>
  <c r="C31" i="119"/>
  <c r="C30" i="119"/>
  <c r="C29" i="119"/>
  <c r="C28" i="119"/>
  <c r="C27" i="119"/>
  <c r="C26" i="119"/>
  <c r="C25" i="119"/>
  <c r="C24" i="119"/>
  <c r="C23" i="119"/>
  <c r="C22" i="119"/>
  <c r="C20" i="119"/>
  <c r="C19" i="119"/>
  <c r="C18" i="119"/>
  <c r="C17" i="119"/>
  <c r="C16" i="119"/>
  <c r="C15" i="119"/>
  <c r="C14" i="119"/>
  <c r="C13" i="119"/>
  <c r="C12" i="119"/>
  <c r="C11" i="119"/>
  <c r="C10" i="119"/>
  <c r="C9" i="119"/>
  <c r="C8" i="119"/>
  <c r="C42" i="119" s="1"/>
  <c r="C7" i="119"/>
  <c r="C81" i="118"/>
  <c r="C77" i="118"/>
  <c r="C76" i="118"/>
  <c r="C75" i="118"/>
  <c r="C73" i="118"/>
  <c r="C72" i="118"/>
  <c r="C70" i="118"/>
  <c r="C67" i="118"/>
  <c r="C66" i="118"/>
  <c r="C62" i="118"/>
  <c r="C61" i="118"/>
  <c r="C56" i="118"/>
  <c r="C53" i="118"/>
  <c r="C52" i="118"/>
  <c r="C51" i="118"/>
  <c r="C50" i="118"/>
  <c r="C48" i="118"/>
  <c r="C47" i="118"/>
  <c r="C46" i="118"/>
  <c r="R42" i="118"/>
  <c r="Q42" i="118"/>
  <c r="P42" i="118"/>
  <c r="O42" i="118"/>
  <c r="N42" i="118"/>
  <c r="M42" i="118"/>
  <c r="L42" i="118"/>
  <c r="K42" i="118"/>
  <c r="J42" i="118"/>
  <c r="I42" i="118"/>
  <c r="H42" i="118"/>
  <c r="G42" i="118"/>
  <c r="F42" i="118"/>
  <c r="E42" i="118"/>
  <c r="D42" i="118"/>
  <c r="B42" i="118"/>
  <c r="C41" i="118"/>
  <c r="C40" i="118"/>
  <c r="C39" i="118"/>
  <c r="C37" i="118"/>
  <c r="C36" i="118"/>
  <c r="C35" i="118"/>
  <c r="C34" i="118"/>
  <c r="C33" i="118"/>
  <c r="C31" i="118"/>
  <c r="C30" i="118"/>
  <c r="C29" i="118"/>
  <c r="C28" i="118"/>
  <c r="C27" i="118"/>
  <c r="C26" i="118"/>
  <c r="C25" i="118"/>
  <c r="C24" i="118"/>
  <c r="C23" i="118"/>
  <c r="C22" i="118"/>
  <c r="C20" i="118"/>
  <c r="C19" i="118"/>
  <c r="C18" i="118"/>
  <c r="C17" i="118"/>
  <c r="C16" i="118"/>
  <c r="C15" i="118"/>
  <c r="C14" i="118"/>
  <c r="C13" i="118"/>
  <c r="C12" i="118"/>
  <c r="C11" i="118"/>
  <c r="C10" i="118"/>
  <c r="C9" i="118"/>
  <c r="C8" i="118"/>
  <c r="C42" i="118" s="1"/>
  <c r="C7" i="118"/>
  <c r="C81" i="117"/>
  <c r="C77" i="117"/>
  <c r="C76" i="117"/>
  <c r="C75" i="117"/>
  <c r="C73" i="117"/>
  <c r="C72" i="117"/>
  <c r="C70" i="117"/>
  <c r="C67" i="117"/>
  <c r="C66" i="117"/>
  <c r="C62" i="117"/>
  <c r="C61" i="117"/>
  <c r="C56" i="117"/>
  <c r="C53" i="117"/>
  <c r="C52" i="117"/>
  <c r="C51" i="117"/>
  <c r="C50" i="117"/>
  <c r="C48" i="117"/>
  <c r="C47" i="117"/>
  <c r="C46" i="117"/>
  <c r="R42" i="117"/>
  <c r="Q42" i="117"/>
  <c r="P42" i="117"/>
  <c r="O42" i="117"/>
  <c r="N42" i="117"/>
  <c r="M42" i="117"/>
  <c r="L42" i="117"/>
  <c r="K42" i="117"/>
  <c r="J42" i="117"/>
  <c r="I42" i="117"/>
  <c r="H42" i="117"/>
  <c r="G42" i="117"/>
  <c r="F42" i="117"/>
  <c r="E42" i="117"/>
  <c r="D42" i="117"/>
  <c r="B42" i="117"/>
  <c r="C41" i="117"/>
  <c r="C40" i="117"/>
  <c r="C39" i="117"/>
  <c r="C37" i="117"/>
  <c r="C36" i="117"/>
  <c r="C35" i="117"/>
  <c r="C34" i="117"/>
  <c r="C33" i="117"/>
  <c r="C31" i="117"/>
  <c r="C30" i="117"/>
  <c r="C29" i="117"/>
  <c r="C28" i="117"/>
  <c r="C27" i="117"/>
  <c r="C26" i="117"/>
  <c r="C25" i="117"/>
  <c r="C24" i="117"/>
  <c r="C23" i="117"/>
  <c r="C22" i="117"/>
  <c r="C20" i="117"/>
  <c r="C19" i="117"/>
  <c r="C18" i="117"/>
  <c r="C17" i="117"/>
  <c r="C16" i="117"/>
  <c r="C15" i="117"/>
  <c r="C14" i="117"/>
  <c r="C13" i="117"/>
  <c r="C12" i="117"/>
  <c r="C11" i="117"/>
  <c r="C10" i="117"/>
  <c r="C9" i="117"/>
  <c r="C8" i="117"/>
  <c r="C42" i="117" s="1"/>
  <c r="C7" i="117"/>
  <c r="C81" i="116"/>
  <c r="C77" i="116"/>
  <c r="C76" i="116"/>
  <c r="C75" i="116"/>
  <c r="C73" i="116"/>
  <c r="C72" i="116"/>
  <c r="C70" i="116"/>
  <c r="C67" i="116"/>
  <c r="C66" i="116"/>
  <c r="C62" i="116"/>
  <c r="C61" i="116"/>
  <c r="C56" i="116"/>
  <c r="C53" i="116"/>
  <c r="C52" i="116"/>
  <c r="C51" i="116"/>
  <c r="C50" i="116"/>
  <c r="C48" i="116"/>
  <c r="C47" i="116"/>
  <c r="C46" i="116"/>
  <c r="R42" i="116"/>
  <c r="Q42" i="116"/>
  <c r="P42" i="116"/>
  <c r="O42" i="116"/>
  <c r="N42" i="116"/>
  <c r="M42" i="116"/>
  <c r="L42" i="116"/>
  <c r="K42" i="116"/>
  <c r="J42" i="116"/>
  <c r="I42" i="116"/>
  <c r="H42" i="116"/>
  <c r="G42" i="116"/>
  <c r="F42" i="116"/>
  <c r="E42" i="116"/>
  <c r="D42" i="116"/>
  <c r="B42" i="116"/>
  <c r="C41" i="116"/>
  <c r="C40" i="116"/>
  <c r="C39" i="116"/>
  <c r="C37" i="116"/>
  <c r="C36" i="116"/>
  <c r="C35" i="116"/>
  <c r="C34" i="116"/>
  <c r="C33" i="116"/>
  <c r="C31" i="116"/>
  <c r="C30" i="116"/>
  <c r="C29" i="116"/>
  <c r="C28" i="116"/>
  <c r="C27" i="116"/>
  <c r="C26" i="116"/>
  <c r="C25" i="116"/>
  <c r="C24" i="116"/>
  <c r="C23" i="116"/>
  <c r="C22" i="116"/>
  <c r="C20" i="116"/>
  <c r="C19" i="116"/>
  <c r="C18" i="116"/>
  <c r="C17" i="116"/>
  <c r="C16" i="116"/>
  <c r="C15" i="116"/>
  <c r="C14" i="116"/>
  <c r="C13" i="116"/>
  <c r="C12" i="116"/>
  <c r="C11" i="116"/>
  <c r="C10" i="116"/>
  <c r="C9" i="116"/>
  <c r="C8" i="116"/>
  <c r="C42" i="116" s="1"/>
  <c r="C7" i="116"/>
  <c r="C81" i="115"/>
  <c r="C77" i="115"/>
  <c r="C76" i="115"/>
  <c r="C75" i="115"/>
  <c r="C73" i="115"/>
  <c r="C72" i="115"/>
  <c r="C70" i="115"/>
  <c r="C67" i="115"/>
  <c r="C66" i="115"/>
  <c r="C62" i="115"/>
  <c r="C61" i="115"/>
  <c r="C56" i="115"/>
  <c r="C53" i="115"/>
  <c r="C52" i="115"/>
  <c r="C51" i="115"/>
  <c r="C50" i="115"/>
  <c r="C48" i="115"/>
  <c r="C47" i="115"/>
  <c r="C46" i="115"/>
  <c r="R42" i="115"/>
  <c r="Q42" i="115"/>
  <c r="P42" i="115"/>
  <c r="O42" i="115"/>
  <c r="N42" i="115"/>
  <c r="M42" i="115"/>
  <c r="L42" i="115"/>
  <c r="K42" i="115"/>
  <c r="J42" i="115"/>
  <c r="I42" i="115"/>
  <c r="H42" i="115"/>
  <c r="G42" i="115"/>
  <c r="F42" i="115"/>
  <c r="E42" i="115"/>
  <c r="D42" i="115"/>
  <c r="B42" i="115"/>
  <c r="C41" i="115"/>
  <c r="C40" i="115"/>
  <c r="C39" i="115"/>
  <c r="C37" i="115"/>
  <c r="C36" i="115"/>
  <c r="C35" i="115"/>
  <c r="C34" i="115"/>
  <c r="C33" i="115"/>
  <c r="C31" i="115"/>
  <c r="C30" i="115"/>
  <c r="C29" i="115"/>
  <c r="C28" i="115"/>
  <c r="C27" i="115"/>
  <c r="C26" i="115"/>
  <c r="C25" i="115"/>
  <c r="C24" i="115"/>
  <c r="C23" i="115"/>
  <c r="C22" i="115"/>
  <c r="C20" i="115"/>
  <c r="C19" i="115"/>
  <c r="C18" i="115"/>
  <c r="C17" i="115"/>
  <c r="C16" i="115"/>
  <c r="C15" i="115"/>
  <c r="C14" i="115"/>
  <c r="C13" i="115"/>
  <c r="C12" i="115"/>
  <c r="C11" i="115"/>
  <c r="C10" i="115"/>
  <c r="C9" i="115"/>
  <c r="C8" i="115"/>
  <c r="C42" i="115" s="1"/>
  <c r="C7" i="115"/>
  <c r="C81" i="114"/>
  <c r="C77" i="114"/>
  <c r="C76" i="114"/>
  <c r="C75" i="114"/>
  <c r="C73" i="114"/>
  <c r="C72" i="114"/>
  <c r="C70" i="114"/>
  <c r="C67" i="114"/>
  <c r="C66" i="114"/>
  <c r="C62" i="114"/>
  <c r="C61" i="114"/>
  <c r="C56" i="114"/>
  <c r="C53" i="114"/>
  <c r="C52" i="114"/>
  <c r="C51" i="114"/>
  <c r="C50" i="114"/>
  <c r="C48" i="114"/>
  <c r="C47" i="114"/>
  <c r="C46" i="114"/>
  <c r="V42" i="114"/>
  <c r="U42" i="114"/>
  <c r="T42" i="114"/>
  <c r="S42" i="114"/>
  <c r="R42" i="114"/>
  <c r="Q42" i="114"/>
  <c r="P42" i="114"/>
  <c r="O42" i="114"/>
  <c r="N42" i="114"/>
  <c r="M42" i="114"/>
  <c r="L42" i="114"/>
  <c r="K42" i="114"/>
  <c r="J42" i="114"/>
  <c r="I42" i="114"/>
  <c r="H42" i="114"/>
  <c r="G42" i="114"/>
  <c r="F42" i="114"/>
  <c r="E42" i="114"/>
  <c r="D42" i="114"/>
  <c r="B42" i="114"/>
  <c r="C41" i="114"/>
  <c r="C40" i="114"/>
  <c r="C39" i="114"/>
  <c r="C37" i="114"/>
  <c r="C36" i="114"/>
  <c r="C35" i="114"/>
  <c r="C34" i="114"/>
  <c r="C33" i="114"/>
  <c r="C31" i="114"/>
  <c r="C30" i="114"/>
  <c r="C29" i="114"/>
  <c r="C28" i="114"/>
  <c r="C27" i="114"/>
  <c r="C26" i="114"/>
  <c r="C25" i="114"/>
  <c r="C24" i="114"/>
  <c r="C23" i="114"/>
  <c r="C22" i="114"/>
  <c r="C20" i="114"/>
  <c r="C19" i="114"/>
  <c r="C18" i="114"/>
  <c r="C17" i="114"/>
  <c r="C16" i="114"/>
  <c r="C15" i="114"/>
  <c r="C14" i="114"/>
  <c r="C13" i="114"/>
  <c r="C12" i="114"/>
  <c r="C11" i="114"/>
  <c r="C10" i="114"/>
  <c r="C9" i="114"/>
  <c r="C8" i="114"/>
  <c r="C42" i="114" s="1"/>
  <c r="C7" i="114"/>
  <c r="C81" i="113"/>
  <c r="C77" i="113"/>
  <c r="C76" i="113"/>
  <c r="C75" i="113"/>
  <c r="C73" i="113"/>
  <c r="C72" i="113"/>
  <c r="C70" i="113"/>
  <c r="C67" i="113"/>
  <c r="C66" i="113"/>
  <c r="C62" i="113"/>
  <c r="C61" i="113"/>
  <c r="C56" i="113"/>
  <c r="C53" i="113"/>
  <c r="C52" i="113"/>
  <c r="C51" i="113"/>
  <c r="C50" i="113"/>
  <c r="C48" i="113"/>
  <c r="C47" i="113"/>
  <c r="C46" i="113"/>
  <c r="T42" i="113"/>
  <c r="S42" i="113"/>
  <c r="R42" i="113"/>
  <c r="Q42" i="113"/>
  <c r="P42" i="113"/>
  <c r="O42" i="113"/>
  <c r="N42" i="113"/>
  <c r="M42" i="113"/>
  <c r="L42" i="113"/>
  <c r="K42" i="113"/>
  <c r="J42" i="113"/>
  <c r="I42" i="113"/>
  <c r="H42" i="113"/>
  <c r="G42" i="113"/>
  <c r="F42" i="113"/>
  <c r="E42" i="113"/>
  <c r="D42" i="113"/>
  <c r="B42" i="113"/>
  <c r="C41" i="113"/>
  <c r="C40" i="113"/>
  <c r="C39" i="113"/>
  <c r="C37" i="113"/>
  <c r="C36" i="113"/>
  <c r="C35" i="113"/>
  <c r="C34" i="113"/>
  <c r="C33" i="113"/>
  <c r="C31" i="113"/>
  <c r="C30" i="113"/>
  <c r="C29" i="113"/>
  <c r="C28" i="113"/>
  <c r="C27" i="113"/>
  <c r="C26" i="113"/>
  <c r="C25" i="113"/>
  <c r="C24" i="113"/>
  <c r="C23" i="113"/>
  <c r="C22" i="113"/>
  <c r="C20" i="113"/>
  <c r="C19" i="113"/>
  <c r="C18" i="113"/>
  <c r="C17" i="113"/>
  <c r="C16" i="113"/>
  <c r="C15" i="113"/>
  <c r="C14" i="113"/>
  <c r="C13" i="113"/>
  <c r="C12" i="113"/>
  <c r="C11" i="113"/>
  <c r="C10" i="113"/>
  <c r="C9" i="113"/>
  <c r="C8" i="113"/>
  <c r="C7" i="113"/>
  <c r="C42" i="113" s="1"/>
  <c r="C81" i="112"/>
  <c r="C77" i="112"/>
  <c r="C76" i="112"/>
  <c r="C75" i="112"/>
  <c r="C73" i="112"/>
  <c r="C72" i="112"/>
  <c r="C70" i="112"/>
  <c r="C67" i="112"/>
  <c r="C66" i="112"/>
  <c r="C62" i="112"/>
  <c r="C61" i="112"/>
  <c r="C56" i="112"/>
  <c r="C53" i="112"/>
  <c r="C52" i="112"/>
  <c r="C51" i="112"/>
  <c r="C50" i="112"/>
  <c r="C48" i="112"/>
  <c r="C47" i="112"/>
  <c r="C46" i="112"/>
  <c r="R42" i="112"/>
  <c r="Q42" i="112"/>
  <c r="P42" i="112"/>
  <c r="O42" i="112"/>
  <c r="N42" i="112"/>
  <c r="M42" i="112"/>
  <c r="L42" i="112"/>
  <c r="K42" i="112"/>
  <c r="J42" i="112"/>
  <c r="I42" i="112"/>
  <c r="H42" i="112"/>
  <c r="G42" i="112"/>
  <c r="F42" i="112"/>
  <c r="E42" i="112"/>
  <c r="D42" i="112"/>
  <c r="B42" i="112"/>
  <c r="C41" i="112"/>
  <c r="C40" i="112"/>
  <c r="C39" i="112"/>
  <c r="C37" i="112"/>
  <c r="C36" i="112"/>
  <c r="C35" i="112"/>
  <c r="C34" i="112"/>
  <c r="C33" i="112"/>
  <c r="C31" i="112"/>
  <c r="C30" i="112"/>
  <c r="C29" i="112"/>
  <c r="C28" i="112"/>
  <c r="C27" i="112"/>
  <c r="C26" i="112"/>
  <c r="C25" i="112"/>
  <c r="C24" i="112"/>
  <c r="C23" i="112"/>
  <c r="C22" i="112"/>
  <c r="C20" i="112"/>
  <c r="C19" i="112"/>
  <c r="C18" i="112"/>
  <c r="C17" i="112"/>
  <c r="C16" i="112"/>
  <c r="C15" i="112"/>
  <c r="C14" i="112"/>
  <c r="C13" i="112"/>
  <c r="C12" i="112"/>
  <c r="C11" i="112"/>
  <c r="C10" i="112"/>
  <c r="C9" i="112"/>
  <c r="C8" i="112"/>
  <c r="C7" i="112"/>
  <c r="C42" i="112" s="1"/>
  <c r="C81" i="111"/>
  <c r="C77" i="111"/>
  <c r="C76" i="111"/>
  <c r="C75" i="111"/>
  <c r="C73" i="111"/>
  <c r="C72" i="111"/>
  <c r="C70" i="111"/>
  <c r="C67" i="111"/>
  <c r="C66" i="111"/>
  <c r="C62" i="111"/>
  <c r="C61" i="111"/>
  <c r="C56" i="111"/>
  <c r="C53" i="111"/>
  <c r="C52" i="111"/>
  <c r="C51" i="111"/>
  <c r="C50" i="111"/>
  <c r="C48" i="111"/>
  <c r="C47" i="111"/>
  <c r="C46" i="111"/>
  <c r="R42" i="111"/>
  <c r="Q42" i="111"/>
  <c r="P42" i="111"/>
  <c r="O42" i="111"/>
  <c r="N42" i="111"/>
  <c r="M42" i="111"/>
  <c r="L42" i="111"/>
  <c r="K42" i="111"/>
  <c r="J42" i="111"/>
  <c r="I42" i="111"/>
  <c r="H42" i="111"/>
  <c r="G42" i="111"/>
  <c r="F42" i="111"/>
  <c r="E42" i="111"/>
  <c r="D42" i="111"/>
  <c r="B42" i="111"/>
  <c r="C41" i="111"/>
  <c r="C40" i="111"/>
  <c r="C39" i="111"/>
  <c r="C37" i="111"/>
  <c r="C36" i="111"/>
  <c r="C35" i="111"/>
  <c r="C34" i="111"/>
  <c r="C33" i="111"/>
  <c r="C31" i="111"/>
  <c r="C30" i="111"/>
  <c r="C29" i="111"/>
  <c r="C28" i="111"/>
  <c r="C27" i="111"/>
  <c r="C26" i="111"/>
  <c r="C25" i="111"/>
  <c r="C24" i="111"/>
  <c r="C23" i="111"/>
  <c r="C22" i="111"/>
  <c r="C20" i="111"/>
  <c r="C19" i="111"/>
  <c r="C18" i="111"/>
  <c r="C17" i="111"/>
  <c r="C16" i="111"/>
  <c r="C15" i="111"/>
  <c r="C14" i="111"/>
  <c r="C13" i="111"/>
  <c r="C12" i="111"/>
  <c r="C11" i="111"/>
  <c r="C10" i="111"/>
  <c r="C9" i="111"/>
  <c r="C8" i="111"/>
  <c r="C7" i="111"/>
  <c r="C42" i="111" s="1"/>
  <c r="C81" i="110"/>
  <c r="C77" i="110"/>
  <c r="C76" i="110"/>
  <c r="C75" i="110"/>
  <c r="C73" i="110"/>
  <c r="C72" i="110"/>
  <c r="C70" i="110"/>
  <c r="C67" i="110"/>
  <c r="C66" i="110"/>
  <c r="C62" i="110"/>
  <c r="C61" i="110"/>
  <c r="C56" i="110"/>
  <c r="C53" i="110"/>
  <c r="C52" i="110"/>
  <c r="C51" i="110"/>
  <c r="C50" i="110"/>
  <c r="C48" i="110"/>
  <c r="C47" i="110"/>
  <c r="C46" i="110"/>
  <c r="R42" i="110"/>
  <c r="Q42" i="110"/>
  <c r="P42" i="110"/>
  <c r="O42" i="110"/>
  <c r="N42" i="110"/>
  <c r="M42" i="110"/>
  <c r="L42" i="110"/>
  <c r="K42" i="110"/>
  <c r="J42" i="110"/>
  <c r="I42" i="110"/>
  <c r="H42" i="110"/>
  <c r="G42" i="110"/>
  <c r="F42" i="110"/>
  <c r="E42" i="110"/>
  <c r="D42" i="110"/>
  <c r="B42" i="110"/>
  <c r="C41" i="110"/>
  <c r="C40" i="110"/>
  <c r="C39" i="110"/>
  <c r="C37" i="110"/>
  <c r="C36" i="110"/>
  <c r="C35" i="110"/>
  <c r="C34" i="110"/>
  <c r="C33" i="110"/>
  <c r="C31" i="110"/>
  <c r="C30" i="110"/>
  <c r="C29" i="110"/>
  <c r="C28" i="110"/>
  <c r="C27" i="110"/>
  <c r="C26" i="110"/>
  <c r="C25" i="110"/>
  <c r="C24" i="110"/>
  <c r="C23" i="110"/>
  <c r="C22" i="110"/>
  <c r="C20" i="110"/>
  <c r="C19" i="110"/>
  <c r="C18" i="110"/>
  <c r="C17" i="110"/>
  <c r="C16" i="110"/>
  <c r="C15" i="110"/>
  <c r="C14" i="110"/>
  <c r="C13" i="110"/>
  <c r="C12" i="110"/>
  <c r="C11" i="110"/>
  <c r="C10" i="110"/>
  <c r="C9" i="110"/>
  <c r="C8" i="110"/>
  <c r="C7" i="110"/>
  <c r="C42" i="110" s="1"/>
  <c r="C81" i="109"/>
  <c r="C77" i="109"/>
  <c r="C76" i="109"/>
  <c r="C75" i="109"/>
  <c r="C73" i="109"/>
  <c r="C72" i="109"/>
  <c r="C70" i="109"/>
  <c r="C67" i="109"/>
  <c r="C66" i="109"/>
  <c r="C62" i="109"/>
  <c r="C61" i="109"/>
  <c r="C56" i="109"/>
  <c r="C53" i="109"/>
  <c r="C52" i="109"/>
  <c r="C51" i="109"/>
  <c r="C50" i="109"/>
  <c r="C48" i="109"/>
  <c r="C47" i="109"/>
  <c r="C46" i="109"/>
  <c r="R42" i="109"/>
  <c r="Q42" i="109"/>
  <c r="P42" i="109"/>
  <c r="O42" i="109"/>
  <c r="N42" i="109"/>
  <c r="M42" i="109"/>
  <c r="L42" i="109"/>
  <c r="K42" i="109"/>
  <c r="J42" i="109"/>
  <c r="I42" i="109"/>
  <c r="H42" i="109"/>
  <c r="G42" i="109"/>
  <c r="F42" i="109"/>
  <c r="E42" i="109"/>
  <c r="D42" i="109"/>
  <c r="B42" i="109"/>
  <c r="C41" i="109"/>
  <c r="C40" i="109"/>
  <c r="C39" i="109"/>
  <c r="C37" i="109"/>
  <c r="C36" i="109"/>
  <c r="C35" i="109"/>
  <c r="C34" i="109"/>
  <c r="C33" i="109"/>
  <c r="C31" i="109"/>
  <c r="C30" i="109"/>
  <c r="C29" i="109"/>
  <c r="C28" i="109"/>
  <c r="C27" i="109"/>
  <c r="C26" i="109"/>
  <c r="C25" i="109"/>
  <c r="C24" i="109"/>
  <c r="C23" i="109"/>
  <c r="C22" i="109"/>
  <c r="C20" i="109"/>
  <c r="C19" i="109"/>
  <c r="C18" i="109"/>
  <c r="C17" i="109"/>
  <c r="C16" i="109"/>
  <c r="C15" i="109"/>
  <c r="C14" i="109"/>
  <c r="C13" i="109"/>
  <c r="C12" i="109"/>
  <c r="C11" i="109"/>
  <c r="C10" i="109"/>
  <c r="C9" i="109"/>
  <c r="C8" i="109"/>
  <c r="C7" i="109"/>
  <c r="C42" i="109" s="1"/>
  <c r="C81" i="108"/>
  <c r="C77" i="108"/>
  <c r="C76" i="108"/>
  <c r="C75" i="108"/>
  <c r="C73" i="108"/>
  <c r="C72" i="108"/>
  <c r="C70" i="108"/>
  <c r="C67" i="108"/>
  <c r="C66" i="108"/>
  <c r="C62" i="108"/>
  <c r="C61" i="108"/>
  <c r="C56" i="108"/>
  <c r="C53" i="108"/>
  <c r="C52" i="108"/>
  <c r="C51" i="108"/>
  <c r="C50" i="108"/>
  <c r="C48" i="108"/>
  <c r="C47" i="108"/>
  <c r="C46" i="108"/>
  <c r="R42" i="108"/>
  <c r="Q42" i="108"/>
  <c r="P42" i="108"/>
  <c r="O42" i="108"/>
  <c r="N42" i="108"/>
  <c r="M42" i="108"/>
  <c r="L42" i="108"/>
  <c r="K42" i="108"/>
  <c r="J42" i="108"/>
  <c r="I42" i="108"/>
  <c r="H42" i="108"/>
  <c r="G42" i="108"/>
  <c r="F42" i="108"/>
  <c r="E42" i="108"/>
  <c r="D42" i="108"/>
  <c r="B42" i="108"/>
  <c r="C41" i="108"/>
  <c r="C40" i="108"/>
  <c r="C39" i="108"/>
  <c r="C37" i="108"/>
  <c r="C36" i="108"/>
  <c r="C35" i="108"/>
  <c r="C34" i="108"/>
  <c r="C33" i="108"/>
  <c r="C31" i="108"/>
  <c r="C30" i="108"/>
  <c r="C29" i="108"/>
  <c r="C28" i="108"/>
  <c r="C27" i="108"/>
  <c r="C26" i="108"/>
  <c r="C25" i="108"/>
  <c r="C24" i="108"/>
  <c r="C23" i="108"/>
  <c r="C22" i="108"/>
  <c r="C20" i="108"/>
  <c r="C19" i="108"/>
  <c r="C18" i="108"/>
  <c r="C17" i="108"/>
  <c r="C16" i="108"/>
  <c r="C15" i="108"/>
  <c r="C14" i="108"/>
  <c r="C13" i="108"/>
  <c r="C12" i="108"/>
  <c r="C11" i="108"/>
  <c r="C10" i="108"/>
  <c r="C9" i="108"/>
  <c r="C8" i="108"/>
  <c r="C7" i="108"/>
  <c r="C42" i="108" s="1"/>
  <c r="C81" i="107"/>
  <c r="C77" i="107"/>
  <c r="C76" i="107"/>
  <c r="C75" i="107"/>
  <c r="C73" i="107"/>
  <c r="C72" i="107"/>
  <c r="C70" i="107"/>
  <c r="C67" i="107"/>
  <c r="C66" i="107"/>
  <c r="C62" i="107"/>
  <c r="C61" i="107"/>
  <c r="C56" i="107"/>
  <c r="C53" i="107"/>
  <c r="C52" i="107"/>
  <c r="C51" i="107"/>
  <c r="C50" i="107"/>
  <c r="C48" i="107"/>
  <c r="C47" i="107"/>
  <c r="C46" i="107"/>
  <c r="R42" i="107"/>
  <c r="Q42" i="107"/>
  <c r="P42" i="107"/>
  <c r="O42" i="107"/>
  <c r="N42" i="107"/>
  <c r="M42" i="107"/>
  <c r="L42" i="107"/>
  <c r="K42" i="107"/>
  <c r="J42" i="107"/>
  <c r="I42" i="107"/>
  <c r="H42" i="107"/>
  <c r="G42" i="107"/>
  <c r="F42" i="107"/>
  <c r="E42" i="107"/>
  <c r="D42" i="107"/>
  <c r="B42" i="107"/>
  <c r="C41" i="107"/>
  <c r="C40" i="107"/>
  <c r="C39" i="107"/>
  <c r="C37" i="107"/>
  <c r="C36" i="107"/>
  <c r="C35" i="107"/>
  <c r="C34" i="107"/>
  <c r="C33" i="107"/>
  <c r="C31" i="107"/>
  <c r="C30" i="107"/>
  <c r="C29" i="107"/>
  <c r="C28" i="107"/>
  <c r="C27" i="107"/>
  <c r="C26" i="107"/>
  <c r="C25" i="107"/>
  <c r="C24" i="107"/>
  <c r="C23" i="107"/>
  <c r="C22" i="107"/>
  <c r="C20" i="107"/>
  <c r="C19" i="107"/>
  <c r="C18" i="107"/>
  <c r="C17" i="107"/>
  <c r="C16" i="107"/>
  <c r="C15" i="107"/>
  <c r="C14" i="107"/>
  <c r="C13" i="107"/>
  <c r="C12" i="107"/>
  <c r="C11" i="107"/>
  <c r="C10" i="107"/>
  <c r="C9" i="107"/>
  <c r="C8" i="107"/>
  <c r="C7" i="107"/>
  <c r="C42" i="107" s="1"/>
  <c r="C81" i="106"/>
  <c r="C77" i="106"/>
  <c r="C76" i="106"/>
  <c r="C75" i="106"/>
  <c r="C73" i="106"/>
  <c r="C72" i="106"/>
  <c r="C70" i="106"/>
  <c r="C67" i="106"/>
  <c r="C66" i="106"/>
  <c r="C62" i="106"/>
  <c r="C61" i="106"/>
  <c r="C56" i="106"/>
  <c r="C53" i="106"/>
  <c r="C52" i="106"/>
  <c r="C51" i="106"/>
  <c r="C50" i="106"/>
  <c r="C48" i="106"/>
  <c r="C47" i="106"/>
  <c r="C46" i="106"/>
  <c r="T42" i="106"/>
  <c r="S42" i="106"/>
  <c r="R42" i="106"/>
  <c r="Q42" i="106"/>
  <c r="P42" i="106"/>
  <c r="O42" i="106"/>
  <c r="N42" i="106"/>
  <c r="M42" i="106"/>
  <c r="L42" i="106"/>
  <c r="K42" i="106"/>
  <c r="J42" i="106"/>
  <c r="I42" i="106"/>
  <c r="H42" i="106"/>
  <c r="G42" i="106"/>
  <c r="F42" i="106"/>
  <c r="E42" i="106"/>
  <c r="D42" i="106"/>
  <c r="B42" i="106"/>
  <c r="C41" i="106"/>
  <c r="C40" i="106"/>
  <c r="C39" i="106"/>
  <c r="C37" i="106"/>
  <c r="C36" i="106"/>
  <c r="C35" i="106"/>
  <c r="C34" i="106"/>
  <c r="C33" i="106"/>
  <c r="C31" i="106"/>
  <c r="C30" i="106"/>
  <c r="C29" i="106"/>
  <c r="C28" i="106"/>
  <c r="C27" i="106"/>
  <c r="C26" i="106"/>
  <c r="C25" i="106"/>
  <c r="C24" i="106"/>
  <c r="C23" i="106"/>
  <c r="C22" i="106"/>
  <c r="C20" i="106"/>
  <c r="C19" i="106"/>
  <c r="C18" i="106"/>
  <c r="C17" i="106"/>
  <c r="C16" i="106"/>
  <c r="C15" i="106"/>
  <c r="C14" i="106"/>
  <c r="C13" i="106"/>
  <c r="C12" i="106"/>
  <c r="C11" i="106"/>
  <c r="C10" i="106"/>
  <c r="C9" i="106"/>
  <c r="C8" i="106"/>
  <c r="C7" i="106"/>
  <c r="C42" i="106" s="1"/>
  <c r="C81" i="105"/>
  <c r="C77" i="105"/>
  <c r="C76" i="105"/>
  <c r="C75" i="105"/>
  <c r="C73" i="105"/>
  <c r="C72" i="105"/>
  <c r="C70" i="105"/>
  <c r="C67" i="105"/>
  <c r="C66" i="105"/>
  <c r="C62" i="105"/>
  <c r="C61" i="105"/>
  <c r="C56" i="105"/>
  <c r="C53" i="105"/>
  <c r="C52" i="105"/>
  <c r="C51" i="105"/>
  <c r="C50" i="105"/>
  <c r="C48" i="105"/>
  <c r="C47" i="105"/>
  <c r="C46" i="105"/>
  <c r="R42" i="105"/>
  <c r="Q42" i="105"/>
  <c r="P42" i="105"/>
  <c r="O42" i="105"/>
  <c r="N42" i="105"/>
  <c r="M42" i="105"/>
  <c r="L42" i="105"/>
  <c r="K42" i="105"/>
  <c r="J42" i="105"/>
  <c r="I42" i="105"/>
  <c r="H42" i="105"/>
  <c r="G42" i="105"/>
  <c r="F42" i="105"/>
  <c r="E42" i="105"/>
  <c r="D42" i="105"/>
  <c r="B42" i="105"/>
  <c r="C41" i="105"/>
  <c r="C40" i="105"/>
  <c r="C39" i="105"/>
  <c r="C37" i="105"/>
  <c r="C36" i="105"/>
  <c r="C35" i="105"/>
  <c r="C34" i="105"/>
  <c r="C33" i="105"/>
  <c r="C31" i="105"/>
  <c r="C30" i="105"/>
  <c r="C29" i="105"/>
  <c r="C28" i="105"/>
  <c r="C27" i="105"/>
  <c r="C26" i="105"/>
  <c r="C25" i="105"/>
  <c r="C24" i="105"/>
  <c r="C23" i="105"/>
  <c r="C22" i="105"/>
  <c r="C20" i="105"/>
  <c r="C19" i="105"/>
  <c r="C18" i="105"/>
  <c r="C17" i="105"/>
  <c r="C16" i="105"/>
  <c r="C15" i="105"/>
  <c r="C14" i="105"/>
  <c r="C13" i="105"/>
  <c r="C12" i="105"/>
  <c r="C11" i="105"/>
  <c r="C10" i="105"/>
  <c r="C9" i="105"/>
  <c r="C8" i="105"/>
  <c r="C7" i="105"/>
  <c r="C42" i="105" s="1"/>
  <c r="C81" i="104"/>
  <c r="C77" i="104"/>
  <c r="C76" i="104"/>
  <c r="C75" i="104"/>
  <c r="C73" i="104"/>
  <c r="C72" i="104"/>
  <c r="C70" i="104"/>
  <c r="C67" i="104"/>
  <c r="C66" i="104"/>
  <c r="C62" i="104"/>
  <c r="C61" i="104"/>
  <c r="C56" i="104"/>
  <c r="C53" i="104"/>
  <c r="C52" i="104"/>
  <c r="C51" i="104"/>
  <c r="C50" i="104"/>
  <c r="C48" i="104"/>
  <c r="C47" i="104"/>
  <c r="C46" i="104"/>
  <c r="V42" i="104"/>
  <c r="U42" i="104"/>
  <c r="T42" i="104"/>
  <c r="S42" i="104"/>
  <c r="R42" i="104"/>
  <c r="Q42" i="104"/>
  <c r="P42" i="104"/>
  <c r="O42" i="104"/>
  <c r="N42" i="104"/>
  <c r="M42" i="104"/>
  <c r="L42" i="104"/>
  <c r="K42" i="104"/>
  <c r="J42" i="104"/>
  <c r="I42" i="104"/>
  <c r="H42" i="104"/>
  <c r="G42" i="104"/>
  <c r="F42" i="104"/>
  <c r="E42" i="104"/>
  <c r="D42" i="104"/>
  <c r="B42" i="104"/>
  <c r="C41" i="104"/>
  <c r="C40" i="104"/>
  <c r="C39" i="104"/>
  <c r="C37" i="104"/>
  <c r="C36" i="104"/>
  <c r="C35" i="104"/>
  <c r="C34" i="104"/>
  <c r="C33" i="104"/>
  <c r="C31" i="104"/>
  <c r="C30" i="104"/>
  <c r="C29" i="104"/>
  <c r="C28" i="104"/>
  <c r="C27" i="104"/>
  <c r="C26" i="104"/>
  <c r="C25" i="104"/>
  <c r="C24" i="104"/>
  <c r="C23" i="104"/>
  <c r="C22" i="104"/>
  <c r="C20" i="104"/>
  <c r="C19" i="104"/>
  <c r="C18" i="104"/>
  <c r="C17" i="104"/>
  <c r="C16" i="104"/>
  <c r="C15" i="104"/>
  <c r="C14" i="104"/>
  <c r="C13" i="104"/>
  <c r="C12" i="104"/>
  <c r="C11" i="104"/>
  <c r="C10" i="104"/>
  <c r="C9" i="104"/>
  <c r="C8" i="104"/>
  <c r="C7" i="104"/>
  <c r="C42" i="104" s="1"/>
  <c r="C81" i="103"/>
  <c r="C77" i="103"/>
  <c r="C76" i="103"/>
  <c r="C75" i="103"/>
  <c r="C73" i="103"/>
  <c r="C72" i="103"/>
  <c r="C70" i="103"/>
  <c r="C67" i="103"/>
  <c r="C66" i="103"/>
  <c r="C62" i="103"/>
  <c r="C61" i="103"/>
  <c r="C56" i="103"/>
  <c r="C53" i="103"/>
  <c r="C52" i="103"/>
  <c r="C51" i="103"/>
  <c r="C50" i="103"/>
  <c r="C48" i="103"/>
  <c r="C47" i="103"/>
  <c r="C46" i="103"/>
  <c r="T42" i="103"/>
  <c r="S42" i="103"/>
  <c r="R42" i="103"/>
  <c r="Q42" i="103"/>
  <c r="P42" i="103"/>
  <c r="O42" i="103"/>
  <c r="N42" i="103"/>
  <c r="M42" i="103"/>
  <c r="L42" i="103"/>
  <c r="K42" i="103"/>
  <c r="J42" i="103"/>
  <c r="I42" i="103"/>
  <c r="H42" i="103"/>
  <c r="G42" i="103"/>
  <c r="F42" i="103"/>
  <c r="E42" i="103"/>
  <c r="D42" i="103"/>
  <c r="B42" i="103"/>
  <c r="C41" i="103"/>
  <c r="C40" i="103"/>
  <c r="C39" i="103"/>
  <c r="C37" i="103"/>
  <c r="C36" i="103"/>
  <c r="C35" i="103"/>
  <c r="C34" i="103"/>
  <c r="C33" i="103"/>
  <c r="C31" i="103"/>
  <c r="C30" i="103"/>
  <c r="C29" i="103"/>
  <c r="C28" i="103"/>
  <c r="C27" i="103"/>
  <c r="C26" i="103"/>
  <c r="C25" i="103"/>
  <c r="C24" i="103"/>
  <c r="C23" i="103"/>
  <c r="C22" i="103"/>
  <c r="C20" i="103"/>
  <c r="C19" i="103"/>
  <c r="C18" i="103"/>
  <c r="C17" i="103"/>
  <c r="C16" i="103"/>
  <c r="C15" i="103"/>
  <c r="C14" i="103"/>
  <c r="C13" i="103"/>
  <c r="C12" i="103"/>
  <c r="C11" i="103"/>
  <c r="C10" i="103"/>
  <c r="C9" i="103"/>
  <c r="C8" i="103"/>
  <c r="C7" i="103"/>
  <c r="C42" i="103" s="1"/>
  <c r="C81" i="102"/>
  <c r="C77" i="102"/>
  <c r="C76" i="102"/>
  <c r="C75" i="102"/>
  <c r="C73" i="102"/>
  <c r="C72" i="102"/>
  <c r="C70" i="102"/>
  <c r="C67" i="102"/>
  <c r="C66" i="102"/>
  <c r="C62" i="102"/>
  <c r="C61" i="102"/>
  <c r="C56" i="102"/>
  <c r="C53" i="102"/>
  <c r="C52" i="102"/>
  <c r="C51" i="102"/>
  <c r="C50" i="102"/>
  <c r="C48" i="102"/>
  <c r="C47" i="102"/>
  <c r="C46" i="102"/>
  <c r="R42" i="102"/>
  <c r="Q42" i="102"/>
  <c r="P42" i="102"/>
  <c r="O42" i="102"/>
  <c r="N42" i="102"/>
  <c r="M42" i="102"/>
  <c r="L42" i="102"/>
  <c r="K42" i="102"/>
  <c r="J42" i="102"/>
  <c r="I42" i="102"/>
  <c r="H42" i="102"/>
  <c r="G42" i="102"/>
  <c r="F42" i="102"/>
  <c r="E42" i="102"/>
  <c r="D42" i="102"/>
  <c r="B42" i="102"/>
  <c r="C41" i="102"/>
  <c r="C40" i="102"/>
  <c r="C39" i="102"/>
  <c r="C37" i="102"/>
  <c r="C36" i="102"/>
  <c r="C35" i="102"/>
  <c r="C34" i="102"/>
  <c r="C33" i="102"/>
  <c r="C31" i="102"/>
  <c r="C30" i="102"/>
  <c r="C29" i="102"/>
  <c r="C28" i="102"/>
  <c r="C27" i="102"/>
  <c r="C26" i="102"/>
  <c r="C25" i="102"/>
  <c r="C24" i="102"/>
  <c r="C23" i="102"/>
  <c r="C22" i="102"/>
  <c r="C20" i="102"/>
  <c r="C19" i="102"/>
  <c r="C18" i="102"/>
  <c r="C17" i="102"/>
  <c r="C16" i="102"/>
  <c r="C15" i="102"/>
  <c r="C14" i="102"/>
  <c r="C13" i="102"/>
  <c r="C12" i="102"/>
  <c r="C11" i="102"/>
  <c r="C10" i="102"/>
  <c r="C9" i="102"/>
  <c r="C8" i="102"/>
  <c r="C7" i="102"/>
  <c r="C42" i="102" s="1"/>
  <c r="C81" i="101"/>
  <c r="C77" i="101"/>
  <c r="C76" i="101"/>
  <c r="C75" i="101"/>
  <c r="C73" i="101"/>
  <c r="C72" i="101"/>
  <c r="C70" i="101"/>
  <c r="C67" i="101"/>
  <c r="C66" i="101"/>
  <c r="C62" i="101"/>
  <c r="C61" i="101"/>
  <c r="C56" i="101"/>
  <c r="C53" i="101"/>
  <c r="C52" i="101"/>
  <c r="C51" i="101"/>
  <c r="C50" i="101"/>
  <c r="C48" i="101"/>
  <c r="C47" i="101"/>
  <c r="C46" i="101"/>
  <c r="T42" i="101"/>
  <c r="S42" i="101"/>
  <c r="R42" i="101"/>
  <c r="Q42" i="101"/>
  <c r="P42" i="101"/>
  <c r="O42" i="101"/>
  <c r="N42" i="101"/>
  <c r="M42" i="101"/>
  <c r="L42" i="101"/>
  <c r="K42" i="101"/>
  <c r="J42" i="101"/>
  <c r="I42" i="101"/>
  <c r="H42" i="101"/>
  <c r="G42" i="101"/>
  <c r="F42" i="101"/>
  <c r="E42" i="101"/>
  <c r="D42" i="101"/>
  <c r="B42" i="101"/>
  <c r="C41" i="101"/>
  <c r="C40" i="101"/>
  <c r="C39" i="101"/>
  <c r="C37" i="101"/>
  <c r="C36" i="101"/>
  <c r="C35" i="101"/>
  <c r="C34" i="101"/>
  <c r="C33" i="101"/>
  <c r="C31" i="101"/>
  <c r="C30" i="101"/>
  <c r="C29" i="101"/>
  <c r="C28" i="101"/>
  <c r="C27" i="101"/>
  <c r="C26" i="101"/>
  <c r="C25" i="101"/>
  <c r="C24" i="101"/>
  <c r="C23" i="101"/>
  <c r="C22" i="101"/>
  <c r="C20" i="101"/>
  <c r="C19" i="101"/>
  <c r="C18" i="101"/>
  <c r="C17" i="101"/>
  <c r="C16" i="101"/>
  <c r="C15" i="101"/>
  <c r="C14" i="101"/>
  <c r="C13" i="101"/>
  <c r="C12" i="101"/>
  <c r="C11" i="101"/>
  <c r="C10" i="101"/>
  <c r="C9" i="101"/>
  <c r="C8" i="101"/>
  <c r="C7" i="101"/>
  <c r="C42" i="101" s="1"/>
  <c r="C81" i="100"/>
  <c r="C77" i="100"/>
  <c r="C76" i="100"/>
  <c r="C75" i="100"/>
  <c r="C73" i="100"/>
  <c r="C72" i="100"/>
  <c r="C70" i="100"/>
  <c r="C67" i="100"/>
  <c r="C66" i="100"/>
  <c r="C62" i="100"/>
  <c r="C61" i="100"/>
  <c r="C56" i="100"/>
  <c r="C53" i="100"/>
  <c r="C52" i="100"/>
  <c r="C51" i="100"/>
  <c r="C50" i="100"/>
  <c r="C48" i="100"/>
  <c r="C47" i="100"/>
  <c r="C46" i="100"/>
  <c r="V42" i="100"/>
  <c r="U42" i="100"/>
  <c r="T42" i="100"/>
  <c r="S42" i="100"/>
  <c r="R42" i="100"/>
  <c r="Q42" i="100"/>
  <c r="P42" i="100"/>
  <c r="O42" i="100"/>
  <c r="N42" i="100"/>
  <c r="M42" i="100"/>
  <c r="L42" i="100"/>
  <c r="K42" i="100"/>
  <c r="J42" i="100"/>
  <c r="I42" i="100"/>
  <c r="H42" i="100"/>
  <c r="G42" i="100"/>
  <c r="F42" i="100"/>
  <c r="E42" i="100"/>
  <c r="D42" i="100"/>
  <c r="B42" i="100"/>
  <c r="C41" i="100"/>
  <c r="C40" i="100"/>
  <c r="C39" i="100"/>
  <c r="C37" i="100"/>
  <c r="C36" i="100"/>
  <c r="C35" i="100"/>
  <c r="C34" i="100"/>
  <c r="C33" i="100"/>
  <c r="C31" i="100"/>
  <c r="C30" i="100"/>
  <c r="C29" i="100"/>
  <c r="C28" i="100"/>
  <c r="C27" i="100"/>
  <c r="C26" i="100"/>
  <c r="C25" i="100"/>
  <c r="C24" i="100"/>
  <c r="C23" i="100"/>
  <c r="C22" i="100"/>
  <c r="C20" i="100"/>
  <c r="C19" i="100"/>
  <c r="C18" i="100"/>
  <c r="C17" i="100"/>
  <c r="C16" i="100"/>
  <c r="C15" i="100"/>
  <c r="C14" i="100"/>
  <c r="C13" i="100"/>
  <c r="C12" i="100"/>
  <c r="C11" i="100"/>
  <c r="C10" i="100"/>
  <c r="C9" i="100"/>
  <c r="C8" i="100"/>
  <c r="C7" i="100"/>
  <c r="C42" i="100" s="1"/>
  <c r="C81" i="99"/>
  <c r="C77" i="99"/>
  <c r="C76" i="99"/>
  <c r="C75" i="99"/>
  <c r="C73" i="99"/>
  <c r="C72" i="99"/>
  <c r="C70" i="99"/>
  <c r="C67" i="99"/>
  <c r="C66" i="99"/>
  <c r="C62" i="99"/>
  <c r="C61" i="99"/>
  <c r="C56" i="99"/>
  <c r="C53" i="99"/>
  <c r="C52" i="99"/>
  <c r="C51" i="99"/>
  <c r="C50" i="99"/>
  <c r="C48" i="99"/>
  <c r="C47" i="99"/>
  <c r="C46" i="99"/>
  <c r="T42" i="99"/>
  <c r="S42" i="99"/>
  <c r="R42" i="99"/>
  <c r="Q42" i="99"/>
  <c r="P42" i="99"/>
  <c r="O42" i="99"/>
  <c r="N42" i="99"/>
  <c r="M42" i="99"/>
  <c r="L42" i="99"/>
  <c r="K42" i="99"/>
  <c r="J42" i="99"/>
  <c r="I42" i="99"/>
  <c r="H42" i="99"/>
  <c r="G42" i="99"/>
  <c r="F42" i="99"/>
  <c r="E42" i="99"/>
  <c r="D42" i="99"/>
  <c r="B42" i="99"/>
  <c r="C41" i="99"/>
  <c r="C40" i="99"/>
  <c r="C39" i="99"/>
  <c r="C37" i="99"/>
  <c r="C36" i="99"/>
  <c r="C35" i="99"/>
  <c r="C34" i="99"/>
  <c r="C33" i="99"/>
  <c r="C31" i="99"/>
  <c r="C30" i="99"/>
  <c r="C29" i="99"/>
  <c r="C28" i="99"/>
  <c r="C27" i="99"/>
  <c r="C26" i="99"/>
  <c r="C25" i="99"/>
  <c r="C24" i="99"/>
  <c r="C23" i="99"/>
  <c r="C22" i="99"/>
  <c r="C20" i="99"/>
  <c r="C19" i="99"/>
  <c r="C18" i="99"/>
  <c r="C17" i="99"/>
  <c r="C16" i="99"/>
  <c r="C15" i="99"/>
  <c r="C14" i="99"/>
  <c r="C13" i="99"/>
  <c r="C12" i="99"/>
  <c r="C11" i="99"/>
  <c r="C10" i="99"/>
  <c r="C9" i="99"/>
  <c r="C8" i="99"/>
  <c r="C7" i="99"/>
  <c r="C42" i="99" s="1"/>
  <c r="C81" i="98"/>
  <c r="C77" i="98"/>
  <c r="C76" i="98"/>
  <c r="C75" i="98"/>
  <c r="C73" i="98"/>
  <c r="C72" i="98"/>
  <c r="C70" i="98"/>
  <c r="C67" i="98"/>
  <c r="C66" i="98"/>
  <c r="C62" i="98"/>
  <c r="C61" i="98"/>
  <c r="C56" i="98"/>
  <c r="C53" i="98"/>
  <c r="C52" i="98"/>
  <c r="C51" i="98"/>
  <c r="C50" i="98"/>
  <c r="C48" i="98"/>
  <c r="C47" i="98"/>
  <c r="C46" i="98"/>
  <c r="T42" i="98"/>
  <c r="S42" i="98"/>
  <c r="R42" i="98"/>
  <c r="Q42" i="98"/>
  <c r="P42" i="98"/>
  <c r="O42" i="98"/>
  <c r="N42" i="98"/>
  <c r="M42" i="98"/>
  <c r="L42" i="98"/>
  <c r="K42" i="98"/>
  <c r="J42" i="98"/>
  <c r="I42" i="98"/>
  <c r="H42" i="98"/>
  <c r="G42" i="98"/>
  <c r="F42" i="98"/>
  <c r="E42" i="98"/>
  <c r="D42" i="98"/>
  <c r="B42" i="98"/>
  <c r="C41" i="98"/>
  <c r="C40" i="98"/>
  <c r="C39" i="98"/>
  <c r="C37" i="98"/>
  <c r="C36" i="98"/>
  <c r="C35" i="98"/>
  <c r="C34" i="98"/>
  <c r="C33" i="98"/>
  <c r="C31" i="98"/>
  <c r="C30" i="98"/>
  <c r="C29" i="98"/>
  <c r="C28" i="98"/>
  <c r="C27" i="98"/>
  <c r="C26" i="98"/>
  <c r="C25" i="98"/>
  <c r="C24" i="98"/>
  <c r="C23" i="98"/>
  <c r="C22" i="98"/>
  <c r="C20" i="98"/>
  <c r="C19" i="98"/>
  <c r="C18" i="98"/>
  <c r="C17" i="98"/>
  <c r="C16" i="98"/>
  <c r="C15" i="98"/>
  <c r="C14" i="98"/>
  <c r="C13" i="98"/>
  <c r="C12" i="98"/>
  <c r="C11" i="98"/>
  <c r="C10" i="98"/>
  <c r="C9" i="98"/>
  <c r="C8" i="98"/>
  <c r="C7" i="98"/>
  <c r="C42" i="98" s="1"/>
  <c r="C81" i="97"/>
  <c r="C77" i="97"/>
  <c r="C76" i="97"/>
  <c r="C75" i="97"/>
  <c r="C73" i="97"/>
  <c r="C72" i="97"/>
  <c r="C70" i="97"/>
  <c r="C67" i="97"/>
  <c r="C66" i="97"/>
  <c r="C62" i="97"/>
  <c r="C61" i="97"/>
  <c r="C56" i="97"/>
  <c r="C53" i="97"/>
  <c r="C52" i="97"/>
  <c r="C51" i="97"/>
  <c r="C50" i="97"/>
  <c r="C48" i="97"/>
  <c r="C47" i="97"/>
  <c r="C46" i="97"/>
  <c r="T42" i="97"/>
  <c r="S42" i="97"/>
  <c r="R42" i="97"/>
  <c r="Q42" i="97"/>
  <c r="P42" i="97"/>
  <c r="O42" i="97"/>
  <c r="N42" i="97"/>
  <c r="M42" i="97"/>
  <c r="L42" i="97"/>
  <c r="K42" i="97"/>
  <c r="J42" i="97"/>
  <c r="I42" i="97"/>
  <c r="H42" i="97"/>
  <c r="G42" i="97"/>
  <c r="F42" i="97"/>
  <c r="E42" i="97"/>
  <c r="D42" i="97"/>
  <c r="B42" i="97"/>
  <c r="C41" i="97"/>
  <c r="C40" i="97"/>
  <c r="C39" i="97"/>
  <c r="C37" i="97"/>
  <c r="C36" i="97"/>
  <c r="C35" i="97"/>
  <c r="C34" i="97"/>
  <c r="C33" i="97"/>
  <c r="C31" i="97"/>
  <c r="C30" i="97"/>
  <c r="C29" i="97"/>
  <c r="C28" i="97"/>
  <c r="C27" i="97"/>
  <c r="C26" i="97"/>
  <c r="C25" i="97"/>
  <c r="C24" i="97"/>
  <c r="C23" i="97"/>
  <c r="C22" i="97"/>
  <c r="C20" i="97"/>
  <c r="C19" i="97"/>
  <c r="C18" i="97"/>
  <c r="C17" i="97"/>
  <c r="C16" i="97"/>
  <c r="C15" i="97"/>
  <c r="C14" i="97"/>
  <c r="C13" i="97"/>
  <c r="C12" i="97"/>
  <c r="C11" i="97"/>
  <c r="C10" i="97"/>
  <c r="C9" i="97"/>
  <c r="C8" i="97"/>
  <c r="C7" i="97"/>
  <c r="C42" i="97" s="1"/>
  <c r="C81" i="96"/>
  <c r="C77" i="96"/>
  <c r="C76" i="96"/>
  <c r="C75" i="96"/>
  <c r="C73" i="96"/>
  <c r="C72" i="96"/>
  <c r="C70" i="96"/>
  <c r="C67" i="96"/>
  <c r="C66" i="96"/>
  <c r="C62" i="96"/>
  <c r="C61" i="96"/>
  <c r="C56" i="96"/>
  <c r="C53" i="96"/>
  <c r="C52" i="96"/>
  <c r="C51" i="96"/>
  <c r="C50" i="96"/>
  <c r="C48" i="96"/>
  <c r="C47" i="96"/>
  <c r="C46" i="96"/>
  <c r="T42" i="96"/>
  <c r="S42" i="96"/>
  <c r="R42" i="96"/>
  <c r="Q42" i="96"/>
  <c r="P42" i="96"/>
  <c r="O42" i="96"/>
  <c r="N42" i="96"/>
  <c r="M42" i="96"/>
  <c r="L42" i="96"/>
  <c r="K42" i="96"/>
  <c r="J42" i="96"/>
  <c r="I42" i="96"/>
  <c r="H42" i="96"/>
  <c r="G42" i="96"/>
  <c r="F42" i="96"/>
  <c r="E42" i="96"/>
  <c r="D42" i="96"/>
  <c r="B42" i="96"/>
  <c r="C41" i="96"/>
  <c r="C40" i="96"/>
  <c r="C39" i="96"/>
  <c r="C37" i="96"/>
  <c r="C36" i="96"/>
  <c r="C35" i="96"/>
  <c r="C34" i="96"/>
  <c r="C33" i="96"/>
  <c r="C31" i="96"/>
  <c r="C30" i="96"/>
  <c r="C29" i="96"/>
  <c r="C28" i="96"/>
  <c r="C27" i="96"/>
  <c r="C26" i="96"/>
  <c r="C25" i="96"/>
  <c r="C24" i="96"/>
  <c r="C23" i="96"/>
  <c r="C22" i="96"/>
  <c r="C20" i="96"/>
  <c r="C19" i="96"/>
  <c r="C18" i="96"/>
  <c r="C17" i="96"/>
  <c r="C16" i="96"/>
  <c r="C15" i="96"/>
  <c r="C14" i="96"/>
  <c r="C13" i="96"/>
  <c r="C12" i="96"/>
  <c r="C11" i="96"/>
  <c r="C10" i="96"/>
  <c r="C9" i="96"/>
  <c r="C8" i="96"/>
  <c r="C7" i="96"/>
  <c r="C42" i="96" s="1"/>
  <c r="C81" i="95"/>
  <c r="C77" i="95"/>
  <c r="C76" i="95"/>
  <c r="C75" i="95"/>
  <c r="C73" i="95"/>
  <c r="C72" i="95"/>
  <c r="C70" i="95"/>
  <c r="C67" i="95"/>
  <c r="C66" i="95"/>
  <c r="C62" i="95"/>
  <c r="C61" i="95"/>
  <c r="C56" i="95"/>
  <c r="C53" i="95"/>
  <c r="C52" i="95"/>
  <c r="C51" i="95"/>
  <c r="C50" i="95"/>
  <c r="C48" i="95"/>
  <c r="C47" i="95"/>
  <c r="C46" i="95"/>
  <c r="R42" i="95"/>
  <c r="Q42" i="95"/>
  <c r="P42" i="95"/>
  <c r="O42" i="95"/>
  <c r="N42" i="95"/>
  <c r="M42" i="95"/>
  <c r="L42" i="95"/>
  <c r="K42" i="95"/>
  <c r="J42" i="95"/>
  <c r="I42" i="95"/>
  <c r="H42" i="95"/>
  <c r="G42" i="95"/>
  <c r="F42" i="95"/>
  <c r="E42" i="95"/>
  <c r="D42" i="95"/>
  <c r="B42" i="95"/>
  <c r="C41" i="95"/>
  <c r="C40" i="95"/>
  <c r="C39" i="95"/>
  <c r="C37" i="95"/>
  <c r="C36" i="95"/>
  <c r="C35" i="95"/>
  <c r="C34" i="95"/>
  <c r="C33" i="95"/>
  <c r="C31" i="95"/>
  <c r="C30" i="95"/>
  <c r="C29" i="95"/>
  <c r="C28" i="95"/>
  <c r="C27" i="95"/>
  <c r="C26" i="95"/>
  <c r="C25" i="95"/>
  <c r="C24" i="95"/>
  <c r="C23" i="95"/>
  <c r="C22" i="95"/>
  <c r="C20" i="95"/>
  <c r="C19" i="95"/>
  <c r="C18" i="95"/>
  <c r="C17" i="95"/>
  <c r="C16" i="95"/>
  <c r="C15" i="95"/>
  <c r="C14" i="95"/>
  <c r="C13" i="95"/>
  <c r="C12" i="95"/>
  <c r="C11" i="95"/>
  <c r="C10" i="95"/>
  <c r="C9" i="95"/>
  <c r="C8" i="95"/>
  <c r="C7" i="95"/>
  <c r="C42" i="95" s="1"/>
  <c r="C81" i="94"/>
  <c r="C77" i="94"/>
  <c r="C76" i="94"/>
  <c r="C75" i="94"/>
  <c r="C73" i="94"/>
  <c r="C72" i="94"/>
  <c r="C70" i="94"/>
  <c r="C67" i="94"/>
  <c r="C66" i="94"/>
  <c r="C62" i="94"/>
  <c r="C61" i="94"/>
  <c r="C56" i="94"/>
  <c r="C53" i="94"/>
  <c r="C52" i="94"/>
  <c r="C51" i="94"/>
  <c r="C50" i="94"/>
  <c r="C48" i="94"/>
  <c r="C47" i="94"/>
  <c r="C46" i="94"/>
  <c r="T42" i="94"/>
  <c r="S42" i="94"/>
  <c r="R42" i="94"/>
  <c r="Q42" i="94"/>
  <c r="P42" i="94"/>
  <c r="O42" i="94"/>
  <c r="N42" i="94"/>
  <c r="M42" i="94"/>
  <c r="L42" i="94"/>
  <c r="K42" i="94"/>
  <c r="J42" i="94"/>
  <c r="I42" i="94"/>
  <c r="H42" i="94"/>
  <c r="G42" i="94"/>
  <c r="F42" i="94"/>
  <c r="E42" i="94"/>
  <c r="D42" i="94"/>
  <c r="B42" i="94"/>
  <c r="C41" i="94"/>
  <c r="C40" i="94"/>
  <c r="C39" i="94"/>
  <c r="C37" i="94"/>
  <c r="C36" i="94"/>
  <c r="C35" i="94"/>
  <c r="C34" i="94"/>
  <c r="C33" i="94"/>
  <c r="C31" i="94"/>
  <c r="C30" i="94"/>
  <c r="C29" i="94"/>
  <c r="C28" i="94"/>
  <c r="C27" i="94"/>
  <c r="C26" i="94"/>
  <c r="C25" i="94"/>
  <c r="C24" i="94"/>
  <c r="C23" i="94"/>
  <c r="C22" i="94"/>
  <c r="C20" i="94"/>
  <c r="C19" i="94"/>
  <c r="C18" i="94"/>
  <c r="C17" i="94"/>
  <c r="C16" i="94"/>
  <c r="C15" i="94"/>
  <c r="C14" i="94"/>
  <c r="C13" i="94"/>
  <c r="C12" i="94"/>
  <c r="C11" i="94"/>
  <c r="C10" i="94"/>
  <c r="C9" i="94"/>
  <c r="C8" i="94"/>
  <c r="C7" i="94"/>
  <c r="C42" i="94" s="1"/>
  <c r="C81" i="93"/>
  <c r="C77" i="93"/>
  <c r="C76" i="93"/>
  <c r="C75" i="93"/>
  <c r="C73" i="93"/>
  <c r="C72" i="93"/>
  <c r="C70" i="93"/>
  <c r="C67" i="93"/>
  <c r="C66" i="93"/>
  <c r="C62" i="93"/>
  <c r="C61" i="93"/>
  <c r="C56" i="93"/>
  <c r="C53" i="93"/>
  <c r="C52" i="93"/>
  <c r="C51" i="93"/>
  <c r="C50" i="93"/>
  <c r="C48" i="93"/>
  <c r="C47" i="93"/>
  <c r="C46" i="93"/>
  <c r="R42" i="93"/>
  <c r="Q42" i="93"/>
  <c r="P42" i="93"/>
  <c r="O42" i="93"/>
  <c r="N42" i="93"/>
  <c r="M42" i="93"/>
  <c r="L42" i="93"/>
  <c r="K42" i="93"/>
  <c r="J42" i="93"/>
  <c r="I42" i="93"/>
  <c r="H42" i="93"/>
  <c r="G42" i="93"/>
  <c r="F42" i="93"/>
  <c r="E42" i="93"/>
  <c r="D42" i="93"/>
  <c r="B42" i="93"/>
  <c r="C41" i="93"/>
  <c r="C40" i="93"/>
  <c r="C39" i="93"/>
  <c r="C37" i="93"/>
  <c r="C36" i="93"/>
  <c r="C35" i="93"/>
  <c r="C34" i="93"/>
  <c r="C33" i="93"/>
  <c r="C31" i="93"/>
  <c r="C30" i="93"/>
  <c r="C29" i="93"/>
  <c r="C28" i="93"/>
  <c r="C27" i="93"/>
  <c r="C26" i="93"/>
  <c r="C25" i="93"/>
  <c r="C24" i="93"/>
  <c r="C23" i="93"/>
  <c r="C22" i="93"/>
  <c r="C20" i="93"/>
  <c r="C19" i="93"/>
  <c r="C18" i="93"/>
  <c r="C17" i="93"/>
  <c r="C16" i="93"/>
  <c r="C15" i="93"/>
  <c r="C14" i="93"/>
  <c r="C13" i="93"/>
  <c r="C12" i="93"/>
  <c r="C11" i="93"/>
  <c r="C10" i="93"/>
  <c r="C9" i="93"/>
  <c r="C8" i="93"/>
  <c r="C7" i="93"/>
  <c r="C42" i="93" s="1"/>
  <c r="C81" i="92"/>
  <c r="C77" i="92"/>
  <c r="C76" i="92"/>
  <c r="C75" i="92"/>
  <c r="C73" i="92"/>
  <c r="C72" i="92"/>
  <c r="C70" i="92"/>
  <c r="C67" i="92"/>
  <c r="C66" i="92"/>
  <c r="C62" i="92"/>
  <c r="C61" i="92"/>
  <c r="C56" i="92"/>
  <c r="C53" i="92"/>
  <c r="C52" i="92"/>
  <c r="C51" i="92"/>
  <c r="C50" i="92"/>
  <c r="C48" i="92"/>
  <c r="C47" i="92"/>
  <c r="C46" i="92"/>
  <c r="R42" i="92"/>
  <c r="Q42" i="92"/>
  <c r="P42" i="92"/>
  <c r="O42" i="92"/>
  <c r="N42" i="92"/>
  <c r="M42" i="92"/>
  <c r="L42" i="92"/>
  <c r="K42" i="92"/>
  <c r="J42" i="92"/>
  <c r="I42" i="92"/>
  <c r="H42" i="92"/>
  <c r="G42" i="92"/>
  <c r="F42" i="92"/>
  <c r="E42" i="92"/>
  <c r="D42" i="92"/>
  <c r="B42" i="92"/>
  <c r="C41" i="92"/>
  <c r="C40" i="92"/>
  <c r="C39" i="92"/>
  <c r="C37" i="92"/>
  <c r="C36" i="92"/>
  <c r="C35" i="92"/>
  <c r="C34" i="92"/>
  <c r="C33" i="92"/>
  <c r="C31" i="92"/>
  <c r="C30" i="92"/>
  <c r="C29" i="92"/>
  <c r="C28" i="92"/>
  <c r="C27" i="92"/>
  <c r="C26" i="92"/>
  <c r="C25" i="92"/>
  <c r="C24" i="92"/>
  <c r="C23" i="92"/>
  <c r="C22" i="92"/>
  <c r="C20" i="92"/>
  <c r="C19" i="92"/>
  <c r="C18" i="92"/>
  <c r="C17" i="92"/>
  <c r="C16" i="92"/>
  <c r="C15" i="92"/>
  <c r="C14" i="92"/>
  <c r="C13" i="92"/>
  <c r="C12" i="92"/>
  <c r="C11" i="92"/>
  <c r="C10" i="92"/>
  <c r="C9" i="92"/>
  <c r="C8" i="92"/>
  <c r="C7" i="92"/>
  <c r="C42" i="92" s="1"/>
  <c r="C81" i="91"/>
  <c r="C77" i="91"/>
  <c r="C76" i="91"/>
  <c r="C75" i="91"/>
  <c r="C73" i="91"/>
  <c r="C72" i="91"/>
  <c r="C70" i="91"/>
  <c r="C67" i="91"/>
  <c r="C66" i="91"/>
  <c r="C62" i="91"/>
  <c r="C61" i="91"/>
  <c r="C56" i="91"/>
  <c r="C53" i="91"/>
  <c r="C52" i="91"/>
  <c r="C51" i="91"/>
  <c r="C50" i="91"/>
  <c r="C48" i="91"/>
  <c r="C47" i="91"/>
  <c r="C46" i="91"/>
  <c r="R42" i="91"/>
  <c r="Q42" i="91"/>
  <c r="P42" i="91"/>
  <c r="O42" i="91"/>
  <c r="N42" i="91"/>
  <c r="M42" i="91"/>
  <c r="L42" i="91"/>
  <c r="K42" i="91"/>
  <c r="J42" i="91"/>
  <c r="I42" i="91"/>
  <c r="H42" i="91"/>
  <c r="G42" i="91"/>
  <c r="F42" i="91"/>
  <c r="E42" i="91"/>
  <c r="D42" i="91"/>
  <c r="B42" i="91"/>
  <c r="C41" i="91"/>
  <c r="C40" i="91"/>
  <c r="C39" i="91"/>
  <c r="C37" i="91"/>
  <c r="C36" i="91"/>
  <c r="C35" i="91"/>
  <c r="C34" i="91"/>
  <c r="C33" i="91"/>
  <c r="C31" i="91"/>
  <c r="C30" i="91"/>
  <c r="C29" i="91"/>
  <c r="C28" i="91"/>
  <c r="C27" i="91"/>
  <c r="C26" i="91"/>
  <c r="C25" i="91"/>
  <c r="C24" i="91"/>
  <c r="C23" i="91"/>
  <c r="C22" i="91"/>
  <c r="C20" i="91"/>
  <c r="C19" i="91"/>
  <c r="C18" i="91"/>
  <c r="C17" i="91"/>
  <c r="C16" i="91"/>
  <c r="C15" i="91"/>
  <c r="C14" i="91"/>
  <c r="C13" i="91"/>
  <c r="C12" i="91"/>
  <c r="C11" i="91"/>
  <c r="C10" i="91"/>
  <c r="C9" i="91"/>
  <c r="C8" i="91"/>
  <c r="C7" i="91"/>
  <c r="C42" i="91" s="1"/>
  <c r="C81" i="90"/>
  <c r="C77" i="90"/>
  <c r="C76" i="90"/>
  <c r="C75" i="90"/>
  <c r="C73" i="90"/>
  <c r="C72" i="90"/>
  <c r="C70" i="90"/>
  <c r="C67" i="90"/>
  <c r="C66" i="90"/>
  <c r="C62" i="90"/>
  <c r="C61" i="90"/>
  <c r="C56" i="90"/>
  <c r="C53" i="90"/>
  <c r="C52" i="90"/>
  <c r="C51" i="90"/>
  <c r="C50" i="90"/>
  <c r="C48" i="90"/>
  <c r="C47" i="90"/>
  <c r="C46" i="90"/>
  <c r="R42" i="90"/>
  <c r="Q42" i="90"/>
  <c r="P42" i="90"/>
  <c r="O42" i="90"/>
  <c r="N42" i="90"/>
  <c r="M42" i="90"/>
  <c r="L42" i="90"/>
  <c r="K42" i="90"/>
  <c r="J42" i="90"/>
  <c r="I42" i="90"/>
  <c r="H42" i="90"/>
  <c r="G42" i="90"/>
  <c r="F42" i="90"/>
  <c r="E42" i="90"/>
  <c r="D42" i="90"/>
  <c r="B42" i="90"/>
  <c r="C41" i="90"/>
  <c r="C40" i="90"/>
  <c r="C39" i="90"/>
  <c r="C37" i="90"/>
  <c r="C36" i="90"/>
  <c r="C35" i="90"/>
  <c r="C34" i="90"/>
  <c r="C33" i="90"/>
  <c r="C31" i="90"/>
  <c r="C30" i="90"/>
  <c r="C29" i="90"/>
  <c r="C28" i="90"/>
  <c r="C27" i="90"/>
  <c r="C26" i="90"/>
  <c r="C25" i="90"/>
  <c r="C24" i="90"/>
  <c r="C23" i="90"/>
  <c r="C22" i="90"/>
  <c r="C20" i="90"/>
  <c r="C19" i="90"/>
  <c r="C18" i="90"/>
  <c r="C17" i="90"/>
  <c r="C16" i="90"/>
  <c r="C15" i="90"/>
  <c r="C14" i="90"/>
  <c r="C13" i="90"/>
  <c r="C12" i="90"/>
  <c r="C11" i="90"/>
  <c r="C10" i="90"/>
  <c r="C9" i="90"/>
  <c r="C8" i="90"/>
  <c r="C7" i="90"/>
  <c r="C42" i="90" s="1"/>
  <c r="C81" i="89"/>
  <c r="C77" i="89"/>
  <c r="C76" i="89"/>
  <c r="C75" i="89"/>
  <c r="C73" i="89"/>
  <c r="C72" i="89"/>
  <c r="C70" i="89"/>
  <c r="C67" i="89"/>
  <c r="C66" i="89"/>
  <c r="C62" i="89"/>
  <c r="C61" i="89"/>
  <c r="C56" i="89"/>
  <c r="C53" i="89"/>
  <c r="C52" i="89"/>
  <c r="C51" i="89"/>
  <c r="C50" i="89"/>
  <c r="C48" i="89"/>
  <c r="C47" i="89"/>
  <c r="C46" i="89"/>
  <c r="R42" i="89"/>
  <c r="Q42" i="89"/>
  <c r="P42" i="89"/>
  <c r="O42" i="89"/>
  <c r="N42" i="89"/>
  <c r="M42" i="89"/>
  <c r="L42" i="89"/>
  <c r="K42" i="89"/>
  <c r="J42" i="89"/>
  <c r="I42" i="89"/>
  <c r="H42" i="89"/>
  <c r="G42" i="89"/>
  <c r="F42" i="89"/>
  <c r="E42" i="89"/>
  <c r="D42" i="89"/>
  <c r="B42" i="89"/>
  <c r="C41" i="89"/>
  <c r="C40" i="89"/>
  <c r="C39" i="89"/>
  <c r="C37" i="89"/>
  <c r="C36" i="89"/>
  <c r="C35" i="89"/>
  <c r="C34" i="89"/>
  <c r="C33" i="89"/>
  <c r="C31" i="89"/>
  <c r="C30" i="89"/>
  <c r="C29" i="89"/>
  <c r="C28" i="89"/>
  <c r="C27" i="89"/>
  <c r="C26" i="89"/>
  <c r="C25" i="89"/>
  <c r="C24" i="89"/>
  <c r="C23" i="89"/>
  <c r="C22" i="89"/>
  <c r="C20" i="89"/>
  <c r="C19" i="89"/>
  <c r="C18" i="89"/>
  <c r="C17" i="89"/>
  <c r="C16" i="89"/>
  <c r="C15" i="89"/>
  <c r="C14" i="89"/>
  <c r="C13" i="89"/>
  <c r="C12" i="89"/>
  <c r="C11" i="89"/>
  <c r="C10" i="89"/>
  <c r="C9" i="89"/>
  <c r="C8" i="89"/>
  <c r="C7" i="89"/>
  <c r="C42" i="89" s="1"/>
  <c r="C81" i="88"/>
  <c r="C77" i="88"/>
  <c r="C76" i="88"/>
  <c r="C75" i="88"/>
  <c r="C73" i="88"/>
  <c r="C72" i="88"/>
  <c r="C70" i="88"/>
  <c r="C67" i="88"/>
  <c r="C66" i="88"/>
  <c r="C62" i="88"/>
  <c r="C61" i="88"/>
  <c r="C56" i="88"/>
  <c r="C53" i="88"/>
  <c r="C52" i="88"/>
  <c r="C51" i="88"/>
  <c r="C50" i="88"/>
  <c r="C48" i="88"/>
  <c r="C47" i="88"/>
  <c r="C46" i="88"/>
  <c r="R42" i="88"/>
  <c r="Q42" i="88"/>
  <c r="P42" i="88"/>
  <c r="O42" i="88"/>
  <c r="N42" i="88"/>
  <c r="M42" i="88"/>
  <c r="L42" i="88"/>
  <c r="K42" i="88"/>
  <c r="J42" i="88"/>
  <c r="I42" i="88"/>
  <c r="H42" i="88"/>
  <c r="G42" i="88"/>
  <c r="F42" i="88"/>
  <c r="E42" i="88"/>
  <c r="D42" i="88"/>
  <c r="B42" i="88"/>
  <c r="C41" i="88"/>
  <c r="C40" i="88"/>
  <c r="C39" i="88"/>
  <c r="C37" i="88"/>
  <c r="C36" i="88"/>
  <c r="C35" i="88"/>
  <c r="C34" i="88"/>
  <c r="C33" i="88"/>
  <c r="C31" i="88"/>
  <c r="C30" i="88"/>
  <c r="C29" i="88"/>
  <c r="C28" i="88"/>
  <c r="C27" i="88"/>
  <c r="C26" i="88"/>
  <c r="C25" i="88"/>
  <c r="C24" i="88"/>
  <c r="C23" i="88"/>
  <c r="C22" i="88"/>
  <c r="C20" i="88"/>
  <c r="C19" i="88"/>
  <c r="C18" i="88"/>
  <c r="C17" i="88"/>
  <c r="C16" i="88"/>
  <c r="C15" i="88"/>
  <c r="C14" i="88"/>
  <c r="C13" i="88"/>
  <c r="C12" i="88"/>
  <c r="C11" i="88"/>
  <c r="C10" i="88"/>
  <c r="C9" i="88"/>
  <c r="C8" i="88"/>
  <c r="C7" i="88"/>
  <c r="C42" i="88" s="1"/>
  <c r="C81" i="87"/>
  <c r="C77" i="87"/>
  <c r="C76" i="87"/>
  <c r="C75" i="87"/>
  <c r="C73" i="87"/>
  <c r="C72" i="87"/>
  <c r="C70" i="87"/>
  <c r="C67" i="87"/>
  <c r="C66" i="87"/>
  <c r="C62" i="87"/>
  <c r="C61" i="87"/>
  <c r="C56" i="87"/>
  <c r="C53" i="87"/>
  <c r="C52" i="87"/>
  <c r="C51" i="87"/>
  <c r="C50" i="87"/>
  <c r="C48" i="87"/>
  <c r="C47" i="87"/>
  <c r="C46" i="87"/>
  <c r="R42" i="87"/>
  <c r="Q42" i="87"/>
  <c r="P42" i="87"/>
  <c r="O42" i="87"/>
  <c r="N42" i="87"/>
  <c r="M42" i="87"/>
  <c r="L42" i="87"/>
  <c r="K42" i="87"/>
  <c r="J42" i="87"/>
  <c r="I42" i="87"/>
  <c r="H42" i="87"/>
  <c r="G42" i="87"/>
  <c r="F42" i="87"/>
  <c r="E42" i="87"/>
  <c r="D42" i="87"/>
  <c r="B42" i="87"/>
  <c r="C41" i="87"/>
  <c r="C40" i="87"/>
  <c r="C39" i="87"/>
  <c r="C37" i="87"/>
  <c r="C36" i="87"/>
  <c r="C35" i="87"/>
  <c r="C34" i="87"/>
  <c r="C33" i="87"/>
  <c r="C31" i="87"/>
  <c r="C30" i="87"/>
  <c r="C29" i="87"/>
  <c r="C28" i="87"/>
  <c r="C27" i="87"/>
  <c r="C26" i="87"/>
  <c r="C25" i="87"/>
  <c r="C24" i="87"/>
  <c r="C23" i="87"/>
  <c r="C22" i="87"/>
  <c r="C20" i="87"/>
  <c r="C19" i="87"/>
  <c r="C18" i="87"/>
  <c r="C17" i="87"/>
  <c r="C16" i="87"/>
  <c r="C15" i="87"/>
  <c r="C14" i="87"/>
  <c r="C13" i="87"/>
  <c r="C12" i="87"/>
  <c r="C11" i="87"/>
  <c r="C10" i="87"/>
  <c r="C9" i="87"/>
  <c r="C8" i="87"/>
  <c r="C7" i="87"/>
  <c r="C42" i="87" s="1"/>
  <c r="C81" i="86"/>
  <c r="C77" i="86"/>
  <c r="C76" i="86"/>
  <c r="C75" i="86"/>
  <c r="C73" i="86"/>
  <c r="C72" i="86"/>
  <c r="C70" i="86"/>
  <c r="C67" i="86"/>
  <c r="C66" i="86"/>
  <c r="C62" i="86"/>
  <c r="C61" i="86"/>
  <c r="C56" i="86"/>
  <c r="C53" i="86"/>
  <c r="C52" i="86"/>
  <c r="C51" i="86"/>
  <c r="C50" i="86"/>
  <c r="C48" i="86"/>
  <c r="C47" i="86"/>
  <c r="C46" i="86"/>
  <c r="R42" i="86"/>
  <c r="Q42" i="86"/>
  <c r="P42" i="86"/>
  <c r="O42" i="86"/>
  <c r="N42" i="86"/>
  <c r="M42" i="86"/>
  <c r="L42" i="86"/>
  <c r="K42" i="86"/>
  <c r="J42" i="86"/>
  <c r="I42" i="86"/>
  <c r="H42" i="86"/>
  <c r="G42" i="86"/>
  <c r="F42" i="86"/>
  <c r="E42" i="86"/>
  <c r="D42" i="86"/>
  <c r="B42" i="86"/>
  <c r="C41" i="86"/>
  <c r="C40" i="86"/>
  <c r="C39" i="86"/>
  <c r="C37" i="86"/>
  <c r="C36" i="86"/>
  <c r="C35" i="86"/>
  <c r="C34" i="86"/>
  <c r="C33" i="86"/>
  <c r="C31" i="86"/>
  <c r="C30" i="86"/>
  <c r="C29" i="86"/>
  <c r="C28" i="86"/>
  <c r="C27" i="86"/>
  <c r="C26" i="86"/>
  <c r="C25" i="86"/>
  <c r="C24" i="86"/>
  <c r="C23" i="86"/>
  <c r="C22" i="86"/>
  <c r="C20" i="86"/>
  <c r="C19" i="86"/>
  <c r="C18" i="86"/>
  <c r="C17" i="86"/>
  <c r="C16" i="86"/>
  <c r="C15" i="86"/>
  <c r="C14" i="86"/>
  <c r="C13" i="86"/>
  <c r="C12" i="86"/>
  <c r="C11" i="86"/>
  <c r="C10" i="86"/>
  <c r="C9" i="86"/>
  <c r="C8" i="86"/>
  <c r="C7" i="86"/>
  <c r="C42" i="86" s="1"/>
  <c r="C81" i="85"/>
  <c r="C77" i="85"/>
  <c r="C76" i="85"/>
  <c r="C75" i="85"/>
  <c r="C73" i="85"/>
  <c r="C72" i="85"/>
  <c r="C70" i="85"/>
  <c r="C67" i="85"/>
  <c r="C66" i="85"/>
  <c r="C62" i="85"/>
  <c r="C61" i="85"/>
  <c r="C56" i="85"/>
  <c r="C53" i="85"/>
  <c r="C52" i="85"/>
  <c r="C51" i="85"/>
  <c r="C50" i="85"/>
  <c r="C48" i="85"/>
  <c r="C47" i="85"/>
  <c r="C46" i="85"/>
  <c r="R42" i="85"/>
  <c r="Q42" i="85"/>
  <c r="P42" i="85"/>
  <c r="O42" i="85"/>
  <c r="N42" i="85"/>
  <c r="M42" i="85"/>
  <c r="L42" i="85"/>
  <c r="K42" i="85"/>
  <c r="J42" i="85"/>
  <c r="I42" i="85"/>
  <c r="H42" i="85"/>
  <c r="G42" i="85"/>
  <c r="F42" i="85"/>
  <c r="E42" i="85"/>
  <c r="D42" i="85"/>
  <c r="B42" i="85"/>
  <c r="C41" i="85"/>
  <c r="C40" i="85"/>
  <c r="C39" i="85"/>
  <c r="C37" i="85"/>
  <c r="C36" i="85"/>
  <c r="C35" i="85"/>
  <c r="C34" i="85"/>
  <c r="C33" i="85"/>
  <c r="C31" i="85"/>
  <c r="C30" i="85"/>
  <c r="C29" i="85"/>
  <c r="C28" i="85"/>
  <c r="C27" i="85"/>
  <c r="C26" i="85"/>
  <c r="C25" i="85"/>
  <c r="C24" i="85"/>
  <c r="C23" i="85"/>
  <c r="C22" i="85"/>
  <c r="C20" i="85"/>
  <c r="C19" i="85"/>
  <c r="C18" i="85"/>
  <c r="C17" i="85"/>
  <c r="C16" i="85"/>
  <c r="C15" i="85"/>
  <c r="C14" i="85"/>
  <c r="C13" i="85"/>
  <c r="C12" i="85"/>
  <c r="C11" i="85"/>
  <c r="C10" i="85"/>
  <c r="C9" i="85"/>
  <c r="C8" i="85"/>
  <c r="C7" i="85"/>
  <c r="C42" i="85" s="1"/>
  <c r="C81" i="84"/>
  <c r="C77" i="84"/>
  <c r="C76" i="84"/>
  <c r="C75" i="84"/>
  <c r="C73" i="84"/>
  <c r="C72" i="84"/>
  <c r="C70" i="84"/>
  <c r="C67" i="84"/>
  <c r="C66" i="84"/>
  <c r="C62" i="84"/>
  <c r="C61" i="84"/>
  <c r="C56" i="84"/>
  <c r="C53" i="84"/>
  <c r="C52" i="84"/>
  <c r="C51" i="84"/>
  <c r="C50" i="84"/>
  <c r="C48" i="84"/>
  <c r="C47" i="84"/>
  <c r="C46" i="84"/>
  <c r="R42" i="84"/>
  <c r="Q42" i="84"/>
  <c r="P42" i="84"/>
  <c r="O42" i="84"/>
  <c r="N42" i="84"/>
  <c r="M42" i="84"/>
  <c r="L42" i="84"/>
  <c r="K42" i="84"/>
  <c r="J42" i="84"/>
  <c r="I42" i="84"/>
  <c r="H42" i="84"/>
  <c r="G42" i="84"/>
  <c r="F42" i="84"/>
  <c r="E42" i="84"/>
  <c r="D42" i="84"/>
  <c r="B42" i="84"/>
  <c r="C41" i="84"/>
  <c r="C40" i="84"/>
  <c r="C39" i="84"/>
  <c r="C37" i="84"/>
  <c r="C36" i="84"/>
  <c r="C35" i="84"/>
  <c r="C34" i="84"/>
  <c r="C33" i="84"/>
  <c r="C31" i="84"/>
  <c r="C30" i="84"/>
  <c r="C29" i="84"/>
  <c r="C28" i="84"/>
  <c r="C27" i="84"/>
  <c r="C26" i="84"/>
  <c r="C25" i="84"/>
  <c r="C24" i="84"/>
  <c r="C23" i="84"/>
  <c r="C22" i="84"/>
  <c r="C20" i="84"/>
  <c r="C19" i="84"/>
  <c r="C18" i="84"/>
  <c r="C17" i="84"/>
  <c r="C16" i="84"/>
  <c r="C15" i="84"/>
  <c r="C14" i="84"/>
  <c r="C13" i="84"/>
  <c r="C12" i="84"/>
  <c r="C11" i="84"/>
  <c r="C10" i="84"/>
  <c r="C9" i="84"/>
  <c r="C8" i="84"/>
  <c r="C42" i="84" s="1"/>
  <c r="C7" i="84"/>
  <c r="C81" i="83"/>
  <c r="C77" i="83"/>
  <c r="C76" i="83"/>
  <c r="C75" i="83"/>
  <c r="C73" i="83"/>
  <c r="C72" i="83"/>
  <c r="C70" i="83"/>
  <c r="C67" i="83"/>
  <c r="C66" i="83"/>
  <c r="C62" i="83"/>
  <c r="C61" i="83"/>
  <c r="C56" i="83"/>
  <c r="C53" i="83"/>
  <c r="C52" i="83"/>
  <c r="C51" i="83"/>
  <c r="C50" i="83"/>
  <c r="C48" i="83"/>
  <c r="C47" i="83"/>
  <c r="C46" i="83"/>
  <c r="R42" i="83"/>
  <c r="Q42" i="83"/>
  <c r="P42" i="83"/>
  <c r="O42" i="83"/>
  <c r="N42" i="83"/>
  <c r="M42" i="83"/>
  <c r="L42" i="83"/>
  <c r="K42" i="83"/>
  <c r="J42" i="83"/>
  <c r="I42" i="83"/>
  <c r="H42" i="83"/>
  <c r="G42" i="83"/>
  <c r="F42" i="83"/>
  <c r="E42" i="83"/>
  <c r="D42" i="83"/>
  <c r="B42" i="83"/>
  <c r="C41" i="83"/>
  <c r="C40" i="83"/>
  <c r="C39" i="83"/>
  <c r="C37" i="83"/>
  <c r="C36" i="83"/>
  <c r="C35" i="83"/>
  <c r="C34" i="83"/>
  <c r="C33" i="83"/>
  <c r="C31" i="83"/>
  <c r="C30" i="83"/>
  <c r="C29" i="83"/>
  <c r="C28" i="83"/>
  <c r="C27" i="83"/>
  <c r="C26" i="83"/>
  <c r="C25" i="83"/>
  <c r="C24" i="83"/>
  <c r="C23" i="83"/>
  <c r="C22" i="83"/>
  <c r="C20" i="83"/>
  <c r="C19" i="83"/>
  <c r="C18" i="83"/>
  <c r="C17" i="83"/>
  <c r="C16" i="83"/>
  <c r="C15" i="83"/>
  <c r="C14" i="83"/>
  <c r="C13" i="83"/>
  <c r="C12" i="83"/>
  <c r="C11" i="83"/>
  <c r="C10" i="83"/>
  <c r="C9" i="83"/>
  <c r="C8" i="83"/>
  <c r="C42" i="83" s="1"/>
  <c r="C7" i="83"/>
  <c r="C81" i="82"/>
  <c r="C77" i="82"/>
  <c r="C76" i="82"/>
  <c r="C75" i="82"/>
  <c r="C73" i="82"/>
  <c r="C72" i="82"/>
  <c r="C70" i="82"/>
  <c r="C67" i="82"/>
  <c r="C66" i="82"/>
  <c r="C62" i="82"/>
  <c r="C61" i="82"/>
  <c r="C56" i="82"/>
  <c r="C53" i="82"/>
  <c r="C52" i="82"/>
  <c r="C51" i="82"/>
  <c r="C50" i="82"/>
  <c r="C48" i="82"/>
  <c r="C47" i="82"/>
  <c r="C46" i="82"/>
  <c r="R42" i="82"/>
  <c r="Q42" i="82"/>
  <c r="P42" i="82"/>
  <c r="O42" i="82"/>
  <c r="N42" i="82"/>
  <c r="M42" i="82"/>
  <c r="L42" i="82"/>
  <c r="K42" i="82"/>
  <c r="J42" i="82"/>
  <c r="I42" i="82"/>
  <c r="H42" i="82"/>
  <c r="G42" i="82"/>
  <c r="F42" i="82"/>
  <c r="E42" i="82"/>
  <c r="D42" i="82"/>
  <c r="B42" i="82"/>
  <c r="C41" i="82"/>
  <c r="C40" i="82"/>
  <c r="C39" i="82"/>
  <c r="C37" i="82"/>
  <c r="C36" i="82"/>
  <c r="C35" i="82"/>
  <c r="C34" i="82"/>
  <c r="C33" i="82"/>
  <c r="C31" i="82"/>
  <c r="C30" i="82"/>
  <c r="C29" i="82"/>
  <c r="C28" i="82"/>
  <c r="C27" i="82"/>
  <c r="C26" i="82"/>
  <c r="C25" i="82"/>
  <c r="C24" i="82"/>
  <c r="C23" i="82"/>
  <c r="C22" i="82"/>
  <c r="C20" i="82"/>
  <c r="C19" i="82"/>
  <c r="C18" i="82"/>
  <c r="C17" i="82"/>
  <c r="C16" i="82"/>
  <c r="C15" i="82"/>
  <c r="C14" i="82"/>
  <c r="C13" i="82"/>
  <c r="C12" i="82"/>
  <c r="C11" i="82"/>
  <c r="C10" i="82"/>
  <c r="C9" i="82"/>
  <c r="C8" i="82"/>
  <c r="C42" i="82" s="1"/>
  <c r="C7" i="82"/>
  <c r="C81" i="81"/>
  <c r="C77" i="81"/>
  <c r="C76" i="81"/>
  <c r="C75" i="81"/>
  <c r="C73" i="81"/>
  <c r="C72" i="81"/>
  <c r="C70" i="81"/>
  <c r="C67" i="81"/>
  <c r="C66" i="81"/>
  <c r="C62" i="81"/>
  <c r="C61" i="81"/>
  <c r="C56" i="81"/>
  <c r="C53" i="81"/>
  <c r="C52" i="81"/>
  <c r="C51" i="81"/>
  <c r="C50" i="81"/>
  <c r="C48" i="81"/>
  <c r="C47" i="81"/>
  <c r="C46" i="81"/>
  <c r="R42" i="81"/>
  <c r="Q42" i="81"/>
  <c r="P42" i="81"/>
  <c r="O42" i="81"/>
  <c r="N42" i="81"/>
  <c r="M42" i="81"/>
  <c r="L42" i="81"/>
  <c r="K42" i="81"/>
  <c r="J42" i="81"/>
  <c r="I42" i="81"/>
  <c r="H42" i="81"/>
  <c r="G42" i="81"/>
  <c r="F42" i="81"/>
  <c r="E42" i="81"/>
  <c r="D42" i="81"/>
  <c r="B42" i="81"/>
  <c r="C41" i="81"/>
  <c r="C40" i="81"/>
  <c r="C39" i="81"/>
  <c r="C37" i="81"/>
  <c r="C36" i="81"/>
  <c r="C35" i="81"/>
  <c r="C34" i="81"/>
  <c r="C33" i="81"/>
  <c r="C31" i="81"/>
  <c r="C30" i="81"/>
  <c r="C29" i="81"/>
  <c r="C28" i="81"/>
  <c r="C27" i="81"/>
  <c r="C26" i="81"/>
  <c r="C25" i="81"/>
  <c r="C24" i="81"/>
  <c r="C23" i="81"/>
  <c r="C22" i="81"/>
  <c r="C20" i="81"/>
  <c r="C19" i="81"/>
  <c r="C18" i="81"/>
  <c r="C17" i="81"/>
  <c r="C16" i="81"/>
  <c r="C15" i="81"/>
  <c r="C14" i="81"/>
  <c r="C13" i="81"/>
  <c r="C12" i="81"/>
  <c r="C11" i="81"/>
  <c r="C10" i="81"/>
  <c r="C9" i="81"/>
  <c r="C8" i="81"/>
  <c r="C42" i="81" s="1"/>
  <c r="C7" i="81"/>
  <c r="C81" i="80"/>
  <c r="C77" i="80"/>
  <c r="C76" i="80"/>
  <c r="C75" i="80"/>
  <c r="C73" i="80"/>
  <c r="C72" i="80"/>
  <c r="C70" i="80"/>
  <c r="C67" i="80"/>
  <c r="C66" i="80"/>
  <c r="C62" i="80"/>
  <c r="C61" i="80"/>
  <c r="C56" i="80"/>
  <c r="C53" i="80"/>
  <c r="C52" i="80"/>
  <c r="C51" i="80"/>
  <c r="C50" i="80"/>
  <c r="C48" i="80"/>
  <c r="C47" i="80"/>
  <c r="C46" i="80"/>
  <c r="R42" i="80"/>
  <c r="Q42" i="80"/>
  <c r="P42" i="80"/>
  <c r="O42" i="80"/>
  <c r="N42" i="80"/>
  <c r="M42" i="80"/>
  <c r="L42" i="80"/>
  <c r="K42" i="80"/>
  <c r="J42" i="80"/>
  <c r="I42" i="80"/>
  <c r="H42" i="80"/>
  <c r="G42" i="80"/>
  <c r="F42" i="80"/>
  <c r="E42" i="80"/>
  <c r="D42" i="80"/>
  <c r="B42" i="80"/>
  <c r="C41" i="80"/>
  <c r="C40" i="80"/>
  <c r="C39" i="80"/>
  <c r="C37" i="80"/>
  <c r="C36" i="80"/>
  <c r="C35" i="80"/>
  <c r="C34" i="80"/>
  <c r="C33" i="80"/>
  <c r="C31" i="80"/>
  <c r="C30" i="80"/>
  <c r="C29" i="80"/>
  <c r="C28" i="80"/>
  <c r="C27" i="80"/>
  <c r="C26" i="80"/>
  <c r="C25" i="80"/>
  <c r="C24" i="80"/>
  <c r="C23" i="80"/>
  <c r="C22" i="80"/>
  <c r="C20" i="80"/>
  <c r="C19" i="80"/>
  <c r="C18" i="80"/>
  <c r="C17" i="80"/>
  <c r="C16" i="80"/>
  <c r="C15" i="80"/>
  <c r="C14" i="80"/>
  <c r="C13" i="80"/>
  <c r="C12" i="80"/>
  <c r="C11" i="80"/>
  <c r="C10" i="80"/>
  <c r="C9" i="80"/>
  <c r="C8" i="80"/>
  <c r="C42" i="80" s="1"/>
  <c r="C7" i="80"/>
  <c r="C81" i="79"/>
  <c r="C77" i="79"/>
  <c r="C76" i="79"/>
  <c r="C75" i="79"/>
  <c r="C73" i="79"/>
  <c r="C72" i="79"/>
  <c r="C70" i="79"/>
  <c r="C67" i="79"/>
  <c r="C66" i="79"/>
  <c r="C62" i="79"/>
  <c r="C61" i="79"/>
  <c r="C56" i="79"/>
  <c r="C53" i="79"/>
  <c r="C52" i="79"/>
  <c r="C51" i="79"/>
  <c r="C50" i="79"/>
  <c r="C48" i="79"/>
  <c r="C47" i="79"/>
  <c r="C46" i="79"/>
  <c r="R42" i="79"/>
  <c r="Q42" i="79"/>
  <c r="P42" i="79"/>
  <c r="O42" i="79"/>
  <c r="N42" i="79"/>
  <c r="M42" i="79"/>
  <c r="L42" i="79"/>
  <c r="K42" i="79"/>
  <c r="J42" i="79"/>
  <c r="I42" i="79"/>
  <c r="H42" i="79"/>
  <c r="G42" i="79"/>
  <c r="F42" i="79"/>
  <c r="E42" i="79"/>
  <c r="D42" i="79"/>
  <c r="B42" i="79"/>
  <c r="C41" i="79"/>
  <c r="C40" i="79"/>
  <c r="C39" i="79"/>
  <c r="C37" i="79"/>
  <c r="C36" i="79"/>
  <c r="C35" i="79"/>
  <c r="C34" i="79"/>
  <c r="C33" i="79"/>
  <c r="C31" i="79"/>
  <c r="C30" i="79"/>
  <c r="C29" i="79"/>
  <c r="C28" i="79"/>
  <c r="C27" i="79"/>
  <c r="C26" i="79"/>
  <c r="C25" i="79"/>
  <c r="C24" i="79"/>
  <c r="C23" i="79"/>
  <c r="C22" i="79"/>
  <c r="C20" i="79"/>
  <c r="C19" i="79"/>
  <c r="C18" i="79"/>
  <c r="C17" i="79"/>
  <c r="C16" i="79"/>
  <c r="C15" i="79"/>
  <c r="C14" i="79"/>
  <c r="C13" i="79"/>
  <c r="C12" i="79"/>
  <c r="C11" i="79"/>
  <c r="C10" i="79"/>
  <c r="C9" i="79"/>
  <c r="C8" i="79"/>
  <c r="C42" i="79" s="1"/>
  <c r="C7" i="79"/>
  <c r="C81" i="78"/>
  <c r="C77" i="78"/>
  <c r="C76" i="78"/>
  <c r="C75" i="78"/>
  <c r="C73" i="78"/>
  <c r="C72" i="78"/>
  <c r="C70" i="78"/>
  <c r="C67" i="78"/>
  <c r="C66" i="78"/>
  <c r="C62" i="78"/>
  <c r="C61" i="78"/>
  <c r="C56" i="78"/>
  <c r="C53" i="78"/>
  <c r="C52" i="78"/>
  <c r="C51" i="78"/>
  <c r="C50" i="78"/>
  <c r="C48" i="78"/>
  <c r="C47" i="78"/>
  <c r="C46" i="78"/>
  <c r="R42" i="78"/>
  <c r="Q42" i="78"/>
  <c r="P42" i="78"/>
  <c r="O42" i="78"/>
  <c r="N42" i="78"/>
  <c r="M42" i="78"/>
  <c r="L42" i="78"/>
  <c r="K42" i="78"/>
  <c r="J42" i="78"/>
  <c r="I42" i="78"/>
  <c r="H42" i="78"/>
  <c r="G42" i="78"/>
  <c r="F42" i="78"/>
  <c r="E42" i="78"/>
  <c r="D42" i="78"/>
  <c r="B42" i="78"/>
  <c r="C41" i="78"/>
  <c r="C40" i="78"/>
  <c r="C39" i="78"/>
  <c r="C37" i="78"/>
  <c r="C36" i="78"/>
  <c r="C35" i="78"/>
  <c r="C34" i="78"/>
  <c r="C33" i="78"/>
  <c r="C31" i="78"/>
  <c r="C30" i="78"/>
  <c r="C29" i="78"/>
  <c r="C28" i="78"/>
  <c r="C27" i="78"/>
  <c r="C26" i="78"/>
  <c r="C25" i="78"/>
  <c r="C24" i="78"/>
  <c r="C23" i="78"/>
  <c r="C22" i="78"/>
  <c r="C20" i="78"/>
  <c r="C19" i="78"/>
  <c r="C18" i="78"/>
  <c r="C17" i="78"/>
  <c r="C16" i="78"/>
  <c r="C15" i="78"/>
  <c r="C14" i="78"/>
  <c r="C13" i="78"/>
  <c r="C12" i="78"/>
  <c r="C11" i="78"/>
  <c r="C10" i="78"/>
  <c r="C9" i="78"/>
  <c r="C8" i="78"/>
  <c r="C42" i="78" s="1"/>
  <c r="C7" i="78"/>
  <c r="C81" i="77"/>
  <c r="C77" i="77"/>
  <c r="C76" i="77"/>
  <c r="C75" i="77"/>
  <c r="C73" i="77"/>
  <c r="C72" i="77"/>
  <c r="C70" i="77"/>
  <c r="C67" i="77"/>
  <c r="C66" i="77"/>
  <c r="C62" i="77"/>
  <c r="C61" i="77"/>
  <c r="C56" i="77"/>
  <c r="C53" i="77"/>
  <c r="C52" i="77"/>
  <c r="C51" i="77"/>
  <c r="C50" i="77"/>
  <c r="C48" i="77"/>
  <c r="C47" i="77"/>
  <c r="C46" i="77"/>
  <c r="R42" i="77"/>
  <c r="Q42" i="77"/>
  <c r="P42" i="77"/>
  <c r="O42" i="77"/>
  <c r="N42" i="77"/>
  <c r="M42" i="77"/>
  <c r="L42" i="77"/>
  <c r="K42" i="77"/>
  <c r="J42" i="77"/>
  <c r="I42" i="77"/>
  <c r="H42" i="77"/>
  <c r="G42" i="77"/>
  <c r="F42" i="77"/>
  <c r="E42" i="77"/>
  <c r="D42" i="77"/>
  <c r="B42" i="77"/>
  <c r="C41" i="77"/>
  <c r="C40" i="77"/>
  <c r="C39" i="77"/>
  <c r="C37" i="77"/>
  <c r="C36" i="77"/>
  <c r="C35" i="77"/>
  <c r="C34" i="77"/>
  <c r="C33" i="77"/>
  <c r="C31" i="77"/>
  <c r="C30" i="77"/>
  <c r="C29" i="77"/>
  <c r="C28" i="77"/>
  <c r="C27" i="77"/>
  <c r="C26" i="77"/>
  <c r="C25" i="77"/>
  <c r="C24" i="77"/>
  <c r="C23" i="77"/>
  <c r="C22" i="77"/>
  <c r="C20" i="77"/>
  <c r="C19" i="77"/>
  <c r="C18" i="77"/>
  <c r="C17" i="77"/>
  <c r="C16" i="77"/>
  <c r="C15" i="77"/>
  <c r="C14" i="77"/>
  <c r="C13" i="77"/>
  <c r="C12" i="77"/>
  <c r="C11" i="77"/>
  <c r="C10" i="77"/>
  <c r="C9" i="77"/>
  <c r="C8" i="77"/>
  <c r="C42" i="77" s="1"/>
  <c r="C7" i="77"/>
  <c r="C81" i="76"/>
  <c r="C77" i="76"/>
  <c r="C76" i="76"/>
  <c r="C75" i="76"/>
  <c r="C73" i="76"/>
  <c r="C72" i="76"/>
  <c r="C70" i="76"/>
  <c r="C67" i="76"/>
  <c r="C66" i="76"/>
  <c r="C62" i="76"/>
  <c r="C61" i="76"/>
  <c r="C56" i="76"/>
  <c r="C53" i="76"/>
  <c r="C52" i="76"/>
  <c r="C51" i="76"/>
  <c r="C50" i="76"/>
  <c r="C48" i="76"/>
  <c r="C47" i="76"/>
  <c r="C46" i="76"/>
  <c r="R42" i="76"/>
  <c r="Q42" i="76"/>
  <c r="P42" i="76"/>
  <c r="O42" i="76"/>
  <c r="N42" i="76"/>
  <c r="M42" i="76"/>
  <c r="L42" i="76"/>
  <c r="K42" i="76"/>
  <c r="J42" i="76"/>
  <c r="I42" i="76"/>
  <c r="H42" i="76"/>
  <c r="G42" i="76"/>
  <c r="F42" i="76"/>
  <c r="E42" i="76"/>
  <c r="D42" i="76"/>
  <c r="B42" i="76"/>
  <c r="C41" i="76"/>
  <c r="C40" i="76"/>
  <c r="C39" i="76"/>
  <c r="C37" i="76"/>
  <c r="C36" i="76"/>
  <c r="C35" i="76"/>
  <c r="C34" i="76"/>
  <c r="C33" i="76"/>
  <c r="C31" i="76"/>
  <c r="C30" i="76"/>
  <c r="C29" i="76"/>
  <c r="C28" i="76"/>
  <c r="C27" i="76"/>
  <c r="C26" i="76"/>
  <c r="C25" i="76"/>
  <c r="C24" i="76"/>
  <c r="C23" i="76"/>
  <c r="C22" i="76"/>
  <c r="C20" i="76"/>
  <c r="C19" i="76"/>
  <c r="C18" i="76"/>
  <c r="C17" i="76"/>
  <c r="C16" i="76"/>
  <c r="C15" i="76"/>
  <c r="C14" i="76"/>
  <c r="C13" i="76"/>
  <c r="C12" i="76"/>
  <c r="C11" i="76"/>
  <c r="C10" i="76"/>
  <c r="C9" i="76"/>
  <c r="C8" i="76"/>
  <c r="C42" i="76" s="1"/>
  <c r="C7" i="76"/>
  <c r="C81" i="75"/>
  <c r="C77" i="75"/>
  <c r="C76" i="75"/>
  <c r="C75" i="75"/>
  <c r="C73" i="75"/>
  <c r="C72" i="75"/>
  <c r="C70" i="75"/>
  <c r="C67" i="75"/>
  <c r="C66" i="75"/>
  <c r="C62" i="75"/>
  <c r="C61" i="75"/>
  <c r="C56" i="75"/>
  <c r="C53" i="75"/>
  <c r="C52" i="75"/>
  <c r="C51" i="75"/>
  <c r="C50" i="75"/>
  <c r="C48" i="75"/>
  <c r="C47" i="75"/>
  <c r="C46" i="75"/>
  <c r="R42" i="75"/>
  <c r="Q42" i="75"/>
  <c r="P42" i="75"/>
  <c r="O42" i="75"/>
  <c r="N42" i="75"/>
  <c r="M42" i="75"/>
  <c r="L42" i="75"/>
  <c r="K42" i="75"/>
  <c r="J42" i="75"/>
  <c r="I42" i="75"/>
  <c r="H42" i="75"/>
  <c r="G42" i="75"/>
  <c r="F42" i="75"/>
  <c r="E42" i="75"/>
  <c r="D42" i="75"/>
  <c r="B42" i="75"/>
  <c r="C41" i="75"/>
  <c r="C40" i="75"/>
  <c r="C39" i="75"/>
  <c r="C37" i="75"/>
  <c r="C36" i="75"/>
  <c r="C35" i="75"/>
  <c r="C34" i="75"/>
  <c r="C33" i="75"/>
  <c r="C31" i="75"/>
  <c r="C30" i="75"/>
  <c r="C29" i="75"/>
  <c r="C28" i="75"/>
  <c r="C27" i="75"/>
  <c r="C26" i="75"/>
  <c r="C25" i="75"/>
  <c r="C24" i="75"/>
  <c r="C23" i="75"/>
  <c r="C22" i="75"/>
  <c r="C20" i="75"/>
  <c r="C19" i="75"/>
  <c r="C18" i="75"/>
  <c r="C17" i="75"/>
  <c r="C16" i="75"/>
  <c r="C15" i="75"/>
  <c r="C14" i="75"/>
  <c r="C13" i="75"/>
  <c r="C12" i="75"/>
  <c r="C11" i="75"/>
  <c r="C10" i="75"/>
  <c r="C9" i="75"/>
  <c r="C8" i="75"/>
  <c r="C42" i="75" s="1"/>
  <c r="C7" i="75"/>
  <c r="C81" i="74"/>
  <c r="C77" i="74"/>
  <c r="C76" i="74"/>
  <c r="C75" i="74"/>
  <c r="C73" i="74"/>
  <c r="C72" i="74"/>
  <c r="C70" i="74"/>
  <c r="C67" i="74"/>
  <c r="C66" i="74"/>
  <c r="C62" i="74"/>
  <c r="C61" i="74"/>
  <c r="C56" i="74"/>
  <c r="C53" i="74"/>
  <c r="C52" i="74"/>
  <c r="C51" i="74"/>
  <c r="C50" i="74"/>
  <c r="C48" i="74"/>
  <c r="C47" i="74"/>
  <c r="C46" i="74"/>
  <c r="R42" i="74"/>
  <c r="Q42" i="74"/>
  <c r="P42" i="74"/>
  <c r="O42" i="74"/>
  <c r="N42" i="74"/>
  <c r="M42" i="74"/>
  <c r="L42" i="74"/>
  <c r="K42" i="74"/>
  <c r="J42" i="74"/>
  <c r="I42" i="74"/>
  <c r="H42" i="74"/>
  <c r="G42" i="74"/>
  <c r="F42" i="74"/>
  <c r="E42" i="74"/>
  <c r="D42" i="74"/>
  <c r="B42" i="74"/>
  <c r="C41" i="74"/>
  <c r="C40" i="74"/>
  <c r="C39" i="74"/>
  <c r="C37" i="74"/>
  <c r="C36" i="74"/>
  <c r="C35" i="74"/>
  <c r="C34" i="74"/>
  <c r="C33" i="74"/>
  <c r="C31" i="74"/>
  <c r="C30" i="74"/>
  <c r="C29" i="74"/>
  <c r="C28" i="74"/>
  <c r="C27" i="74"/>
  <c r="C26" i="74"/>
  <c r="C25" i="74"/>
  <c r="C24" i="74"/>
  <c r="C23" i="74"/>
  <c r="C22" i="74"/>
  <c r="C20" i="74"/>
  <c r="C19" i="74"/>
  <c r="C18" i="74"/>
  <c r="C17" i="74"/>
  <c r="C16" i="74"/>
  <c r="C15" i="74"/>
  <c r="C14" i="74"/>
  <c r="C13" i="74"/>
  <c r="C12" i="74"/>
  <c r="C11" i="74"/>
  <c r="C10" i="74"/>
  <c r="C9" i="74"/>
  <c r="C8" i="74"/>
  <c r="C42" i="74" s="1"/>
  <c r="C7" i="74"/>
  <c r="C81" i="73"/>
  <c r="C77" i="73"/>
  <c r="C76" i="73"/>
  <c r="C75" i="73"/>
  <c r="C73" i="73"/>
  <c r="C72" i="73"/>
  <c r="C70" i="73"/>
  <c r="C67" i="73"/>
  <c r="C66" i="73"/>
  <c r="C62" i="73"/>
  <c r="C61" i="73"/>
  <c r="C56" i="73"/>
  <c r="C53" i="73"/>
  <c r="C52" i="73"/>
  <c r="C51" i="73"/>
  <c r="C50" i="73"/>
  <c r="C48" i="73"/>
  <c r="C47" i="73"/>
  <c r="C46" i="73"/>
  <c r="R42" i="73"/>
  <c r="Q42" i="73"/>
  <c r="P42" i="73"/>
  <c r="O42" i="73"/>
  <c r="N42" i="73"/>
  <c r="M42" i="73"/>
  <c r="L42" i="73"/>
  <c r="K42" i="73"/>
  <c r="J42" i="73"/>
  <c r="I42" i="73"/>
  <c r="H42" i="73"/>
  <c r="G42" i="73"/>
  <c r="F42" i="73"/>
  <c r="E42" i="73"/>
  <c r="D42" i="73"/>
  <c r="B42" i="73"/>
  <c r="C41" i="73"/>
  <c r="C40" i="73"/>
  <c r="C39" i="73"/>
  <c r="C37" i="73"/>
  <c r="C36" i="73"/>
  <c r="C35" i="73"/>
  <c r="C34" i="73"/>
  <c r="C33" i="73"/>
  <c r="C31" i="73"/>
  <c r="C30" i="73"/>
  <c r="C29" i="73"/>
  <c r="C28" i="73"/>
  <c r="C27" i="73"/>
  <c r="C26" i="73"/>
  <c r="C25" i="73"/>
  <c r="C24" i="73"/>
  <c r="C23" i="73"/>
  <c r="C22" i="73"/>
  <c r="C20" i="73"/>
  <c r="C19" i="73"/>
  <c r="C18" i="73"/>
  <c r="C17" i="73"/>
  <c r="C16" i="73"/>
  <c r="C15" i="73"/>
  <c r="C14" i="73"/>
  <c r="C13" i="73"/>
  <c r="C12" i="73"/>
  <c r="C11" i="73"/>
  <c r="C10" i="73"/>
  <c r="C9" i="73"/>
  <c r="C8" i="73"/>
  <c r="C42" i="73" s="1"/>
  <c r="C7" i="73"/>
  <c r="C81" i="72"/>
  <c r="C77" i="72"/>
  <c r="C76" i="72"/>
  <c r="C75" i="72"/>
  <c r="C73" i="72"/>
  <c r="C72" i="72"/>
  <c r="C70" i="72"/>
  <c r="C67" i="72"/>
  <c r="C66" i="72"/>
  <c r="C62" i="72"/>
  <c r="C61" i="72"/>
  <c r="C56" i="72"/>
  <c r="C53" i="72"/>
  <c r="C52" i="72"/>
  <c r="C51" i="72"/>
  <c r="C50" i="72"/>
  <c r="C48" i="72"/>
  <c r="C47" i="72"/>
  <c r="C46" i="72"/>
  <c r="R42" i="72"/>
  <c r="Q42" i="72"/>
  <c r="P42" i="72"/>
  <c r="O42" i="72"/>
  <c r="N42" i="72"/>
  <c r="M42" i="72"/>
  <c r="L42" i="72"/>
  <c r="K42" i="72"/>
  <c r="J42" i="72"/>
  <c r="I42" i="72"/>
  <c r="H42" i="72"/>
  <c r="G42" i="72"/>
  <c r="F42" i="72"/>
  <c r="E42" i="72"/>
  <c r="D42" i="72"/>
  <c r="B42" i="72"/>
  <c r="C41" i="72"/>
  <c r="C40" i="72"/>
  <c r="C39" i="72"/>
  <c r="C37" i="72"/>
  <c r="C36" i="72"/>
  <c r="C35" i="72"/>
  <c r="C34" i="72"/>
  <c r="C33" i="72"/>
  <c r="C31" i="72"/>
  <c r="C30" i="72"/>
  <c r="C29" i="72"/>
  <c r="C28" i="72"/>
  <c r="C27" i="72"/>
  <c r="C26" i="72"/>
  <c r="C25" i="72"/>
  <c r="C24" i="72"/>
  <c r="C23" i="72"/>
  <c r="C22" i="72"/>
  <c r="C20" i="72"/>
  <c r="C19" i="72"/>
  <c r="C18" i="72"/>
  <c r="C17" i="72"/>
  <c r="C16" i="72"/>
  <c r="C15" i="72"/>
  <c r="C14" i="72"/>
  <c r="C13" i="72"/>
  <c r="C12" i="72"/>
  <c r="C11" i="72"/>
  <c r="C10" i="72"/>
  <c r="C9" i="72"/>
  <c r="C8" i="72"/>
  <c r="C42" i="72" s="1"/>
  <c r="C7" i="72"/>
  <c r="C81" i="71"/>
  <c r="C77" i="71"/>
  <c r="C76" i="71"/>
  <c r="C75" i="71"/>
  <c r="C73" i="71"/>
  <c r="C72" i="71"/>
  <c r="C70" i="71"/>
  <c r="C67" i="71"/>
  <c r="C66" i="71"/>
  <c r="C62" i="71"/>
  <c r="C61" i="71"/>
  <c r="C56" i="71"/>
  <c r="C53" i="71"/>
  <c r="C52" i="71"/>
  <c r="C51" i="71"/>
  <c r="C50" i="71"/>
  <c r="C48" i="71"/>
  <c r="C47" i="71"/>
  <c r="C46" i="71"/>
  <c r="R42" i="71"/>
  <c r="Q42" i="71"/>
  <c r="P42" i="71"/>
  <c r="O42" i="71"/>
  <c r="N42" i="71"/>
  <c r="M42" i="71"/>
  <c r="L42" i="71"/>
  <c r="K42" i="71"/>
  <c r="J42" i="71"/>
  <c r="I42" i="71"/>
  <c r="H42" i="71"/>
  <c r="G42" i="71"/>
  <c r="F42" i="71"/>
  <c r="E42" i="71"/>
  <c r="D42" i="71"/>
  <c r="B42" i="71"/>
  <c r="C41" i="71"/>
  <c r="C40" i="71"/>
  <c r="C39" i="71"/>
  <c r="C37" i="71"/>
  <c r="C36" i="71"/>
  <c r="C35" i="71"/>
  <c r="C34" i="71"/>
  <c r="C33" i="71"/>
  <c r="C31" i="71"/>
  <c r="C30" i="71"/>
  <c r="C29" i="71"/>
  <c r="C28" i="71"/>
  <c r="C27" i="71"/>
  <c r="C26" i="71"/>
  <c r="C25" i="71"/>
  <c r="C24" i="71"/>
  <c r="C23" i="71"/>
  <c r="C22" i="71"/>
  <c r="C20" i="71"/>
  <c r="C19" i="71"/>
  <c r="C18" i="71"/>
  <c r="C17" i="71"/>
  <c r="C16" i="71"/>
  <c r="C15" i="71"/>
  <c r="C14" i="71"/>
  <c r="C13" i="71"/>
  <c r="C12" i="71"/>
  <c r="C11" i="71"/>
  <c r="C10" i="71"/>
  <c r="C9" i="71"/>
  <c r="C8" i="71"/>
  <c r="C42" i="71" s="1"/>
  <c r="C7" i="71"/>
  <c r="C81" i="70"/>
  <c r="C77" i="70"/>
  <c r="C76" i="70"/>
  <c r="C75" i="70"/>
  <c r="C73" i="70"/>
  <c r="C72" i="70"/>
  <c r="C70" i="70"/>
  <c r="C67" i="70"/>
  <c r="C66" i="70"/>
  <c r="C62" i="70"/>
  <c r="C61" i="70"/>
  <c r="C56" i="70"/>
  <c r="C53" i="70"/>
  <c r="C52" i="70"/>
  <c r="C51" i="70"/>
  <c r="C50" i="70"/>
  <c r="C48" i="70"/>
  <c r="C47" i="70"/>
  <c r="C46" i="70"/>
  <c r="R42" i="70"/>
  <c r="Q42" i="70"/>
  <c r="P42" i="70"/>
  <c r="O42" i="70"/>
  <c r="N42" i="70"/>
  <c r="M42" i="70"/>
  <c r="L42" i="70"/>
  <c r="K42" i="70"/>
  <c r="J42" i="70"/>
  <c r="I42" i="70"/>
  <c r="H42" i="70"/>
  <c r="G42" i="70"/>
  <c r="F42" i="70"/>
  <c r="E42" i="70"/>
  <c r="D42" i="70"/>
  <c r="B42" i="70"/>
  <c r="C41" i="70"/>
  <c r="C40" i="70"/>
  <c r="C39" i="70"/>
  <c r="C37" i="70"/>
  <c r="C36" i="70"/>
  <c r="C35" i="70"/>
  <c r="C34" i="70"/>
  <c r="C33" i="70"/>
  <c r="C31" i="70"/>
  <c r="C30" i="70"/>
  <c r="C29" i="70"/>
  <c r="C28" i="70"/>
  <c r="C27" i="70"/>
  <c r="C26" i="70"/>
  <c r="C25" i="70"/>
  <c r="C24" i="70"/>
  <c r="C23" i="70"/>
  <c r="C22" i="70"/>
  <c r="C20" i="70"/>
  <c r="C19" i="70"/>
  <c r="C18" i="70"/>
  <c r="C17" i="70"/>
  <c r="C16" i="70"/>
  <c r="C15" i="70"/>
  <c r="C14" i="70"/>
  <c r="C13" i="70"/>
  <c r="C12" i="70"/>
  <c r="C11" i="70"/>
  <c r="C10" i="70"/>
  <c r="C9" i="70"/>
  <c r="C8" i="70"/>
  <c r="C42" i="70" s="1"/>
  <c r="C7" i="70"/>
  <c r="C81" i="69"/>
  <c r="C77" i="69"/>
  <c r="C76" i="69"/>
  <c r="C75" i="69"/>
  <c r="C73" i="69"/>
  <c r="C72" i="69"/>
  <c r="C70" i="69"/>
  <c r="C67" i="69"/>
  <c r="C66" i="69"/>
  <c r="C62" i="69"/>
  <c r="C61" i="69"/>
  <c r="C56" i="69"/>
  <c r="C53" i="69"/>
  <c r="C52" i="69"/>
  <c r="C51" i="69"/>
  <c r="C50" i="69"/>
  <c r="C48" i="69"/>
  <c r="C47" i="69"/>
  <c r="C46" i="69"/>
  <c r="R42" i="69"/>
  <c r="Q42" i="69"/>
  <c r="P42" i="69"/>
  <c r="O42" i="69"/>
  <c r="N42" i="69"/>
  <c r="M42" i="69"/>
  <c r="L42" i="69"/>
  <c r="K42" i="69"/>
  <c r="J42" i="69"/>
  <c r="I42" i="69"/>
  <c r="H42" i="69"/>
  <c r="G42" i="69"/>
  <c r="F42" i="69"/>
  <c r="E42" i="69"/>
  <c r="D42" i="69"/>
  <c r="B42" i="69"/>
  <c r="C41" i="69"/>
  <c r="C40" i="69"/>
  <c r="C39" i="69"/>
  <c r="C37" i="69"/>
  <c r="C36" i="69"/>
  <c r="C35" i="69"/>
  <c r="C34" i="69"/>
  <c r="C33" i="69"/>
  <c r="C31" i="69"/>
  <c r="C30" i="69"/>
  <c r="C29" i="69"/>
  <c r="C28" i="69"/>
  <c r="C27" i="69"/>
  <c r="C26" i="69"/>
  <c r="C25" i="69"/>
  <c r="C24" i="69"/>
  <c r="C23" i="69"/>
  <c r="C22" i="69"/>
  <c r="C20" i="69"/>
  <c r="C19" i="69"/>
  <c r="C18" i="69"/>
  <c r="C17" i="69"/>
  <c r="C16" i="69"/>
  <c r="C15" i="69"/>
  <c r="C14" i="69"/>
  <c r="C13" i="69"/>
  <c r="C12" i="69"/>
  <c r="C11" i="69"/>
  <c r="C10" i="69"/>
  <c r="C9" i="69"/>
  <c r="C8" i="69"/>
  <c r="C42" i="69" s="1"/>
  <c r="C7" i="69"/>
  <c r="C81" i="68"/>
  <c r="C77" i="68"/>
  <c r="C76" i="68"/>
  <c r="C75" i="68"/>
  <c r="C73" i="68"/>
  <c r="C72" i="68"/>
  <c r="C70" i="68"/>
  <c r="C67" i="68"/>
  <c r="C66" i="68"/>
  <c r="C62" i="68"/>
  <c r="C61" i="68"/>
  <c r="C56" i="68"/>
  <c r="C53" i="68"/>
  <c r="C52" i="68"/>
  <c r="C51" i="68"/>
  <c r="C50" i="68"/>
  <c r="C48" i="68"/>
  <c r="C47" i="68"/>
  <c r="C46" i="68"/>
  <c r="R42" i="68"/>
  <c r="Q42" i="68"/>
  <c r="P42" i="68"/>
  <c r="O42" i="68"/>
  <c r="N42" i="68"/>
  <c r="M42" i="68"/>
  <c r="L42" i="68"/>
  <c r="K42" i="68"/>
  <c r="J42" i="68"/>
  <c r="I42" i="68"/>
  <c r="H42" i="68"/>
  <c r="G42" i="68"/>
  <c r="F42" i="68"/>
  <c r="E42" i="68"/>
  <c r="D42" i="68"/>
  <c r="B42" i="68"/>
  <c r="C41" i="68"/>
  <c r="C40" i="68"/>
  <c r="C39" i="68"/>
  <c r="C37" i="68"/>
  <c r="C36" i="68"/>
  <c r="C35" i="68"/>
  <c r="C34" i="68"/>
  <c r="C33" i="68"/>
  <c r="C31" i="68"/>
  <c r="C30" i="68"/>
  <c r="C29" i="68"/>
  <c r="C28" i="68"/>
  <c r="C27" i="68"/>
  <c r="C26" i="68"/>
  <c r="C25" i="68"/>
  <c r="C24" i="68"/>
  <c r="C23" i="68"/>
  <c r="C22" i="68"/>
  <c r="C20" i="68"/>
  <c r="C19" i="68"/>
  <c r="C18" i="68"/>
  <c r="C17" i="68"/>
  <c r="C16" i="68"/>
  <c r="C15" i="68"/>
  <c r="C14" i="68"/>
  <c r="C13" i="68"/>
  <c r="C12" i="68"/>
  <c r="C11" i="68"/>
  <c r="C10" i="68"/>
  <c r="C9" i="68"/>
  <c r="C8" i="68"/>
  <c r="C42" i="68" s="1"/>
  <c r="C7" i="68"/>
  <c r="C81" i="67"/>
  <c r="C77" i="67"/>
  <c r="C76" i="67"/>
  <c r="C75" i="67"/>
  <c r="C73" i="67"/>
  <c r="C72" i="67"/>
  <c r="C70" i="67"/>
  <c r="C67" i="67"/>
  <c r="C66" i="67"/>
  <c r="C62" i="67"/>
  <c r="C61" i="67"/>
  <c r="C56" i="67"/>
  <c r="C53" i="67"/>
  <c r="C52" i="67"/>
  <c r="C51" i="67"/>
  <c r="C50" i="67"/>
  <c r="C48" i="67"/>
  <c r="C47" i="67"/>
  <c r="C46" i="67"/>
  <c r="R42" i="67"/>
  <c r="Q42" i="67"/>
  <c r="P42" i="67"/>
  <c r="O42" i="67"/>
  <c r="N42" i="67"/>
  <c r="M42" i="67"/>
  <c r="L42" i="67"/>
  <c r="K42" i="67"/>
  <c r="J42" i="67"/>
  <c r="I42" i="67"/>
  <c r="H42" i="67"/>
  <c r="G42" i="67"/>
  <c r="F42" i="67"/>
  <c r="E42" i="67"/>
  <c r="D42" i="67"/>
  <c r="B42" i="67"/>
  <c r="C41" i="67"/>
  <c r="C40" i="67"/>
  <c r="C39" i="67"/>
  <c r="C37" i="67"/>
  <c r="C36" i="67"/>
  <c r="C35" i="67"/>
  <c r="C34" i="67"/>
  <c r="C33" i="67"/>
  <c r="C31" i="67"/>
  <c r="C30" i="67"/>
  <c r="C29" i="67"/>
  <c r="C28" i="67"/>
  <c r="C27" i="67"/>
  <c r="C26" i="67"/>
  <c r="C25" i="67"/>
  <c r="C24" i="67"/>
  <c r="C23" i="67"/>
  <c r="C22" i="67"/>
  <c r="C20" i="67"/>
  <c r="C19" i="67"/>
  <c r="C18" i="67"/>
  <c r="C17" i="67"/>
  <c r="C16" i="67"/>
  <c r="C15" i="67"/>
  <c r="C14" i="67"/>
  <c r="C13" i="67"/>
  <c r="C12" i="67"/>
  <c r="C11" i="67"/>
  <c r="C10" i="67"/>
  <c r="C9" i="67"/>
  <c r="C8" i="67"/>
  <c r="C42" i="67" s="1"/>
  <c r="C7" i="67"/>
  <c r="C81" i="66"/>
  <c r="C77" i="66"/>
  <c r="C76" i="66"/>
  <c r="C75" i="66"/>
  <c r="C73" i="66"/>
  <c r="C72" i="66"/>
  <c r="C70" i="66"/>
  <c r="C67" i="66"/>
  <c r="C66" i="66"/>
  <c r="C62" i="66"/>
  <c r="C61" i="66"/>
  <c r="C56" i="66"/>
  <c r="C53" i="66"/>
  <c r="C52" i="66"/>
  <c r="C51" i="66"/>
  <c r="C50" i="66"/>
  <c r="C48" i="66"/>
  <c r="C47" i="66"/>
  <c r="C46" i="66"/>
  <c r="R42" i="66"/>
  <c r="Q42" i="66"/>
  <c r="P42" i="66"/>
  <c r="O42" i="66"/>
  <c r="N42" i="66"/>
  <c r="M42" i="66"/>
  <c r="L42" i="66"/>
  <c r="K42" i="66"/>
  <c r="J42" i="66"/>
  <c r="I42" i="66"/>
  <c r="H42" i="66"/>
  <c r="G42" i="66"/>
  <c r="F42" i="66"/>
  <c r="E42" i="66"/>
  <c r="D42" i="66"/>
  <c r="B42" i="66"/>
  <c r="C41" i="66"/>
  <c r="C40" i="66"/>
  <c r="C39" i="66"/>
  <c r="C37" i="66"/>
  <c r="C36" i="66"/>
  <c r="C35" i="66"/>
  <c r="C34" i="66"/>
  <c r="C33" i="66"/>
  <c r="C31" i="66"/>
  <c r="C30" i="66"/>
  <c r="C29" i="66"/>
  <c r="C28" i="66"/>
  <c r="C27" i="66"/>
  <c r="C26" i="66"/>
  <c r="C25" i="66"/>
  <c r="C24" i="66"/>
  <c r="C23" i="66"/>
  <c r="C22" i="66"/>
  <c r="C20" i="66"/>
  <c r="C19" i="66"/>
  <c r="C18" i="66"/>
  <c r="C17" i="66"/>
  <c r="C16" i="66"/>
  <c r="C15" i="66"/>
  <c r="C14" i="66"/>
  <c r="C13" i="66"/>
  <c r="C12" i="66"/>
  <c r="C11" i="66"/>
  <c r="C10" i="66"/>
  <c r="C9" i="66"/>
  <c r="C8" i="66"/>
  <c r="C42" i="66" s="1"/>
  <c r="C7" i="66"/>
  <c r="C81" i="65"/>
  <c r="C77" i="65"/>
  <c r="C76" i="65"/>
  <c r="C75" i="65"/>
  <c r="C73" i="65"/>
  <c r="C72" i="65"/>
  <c r="C70" i="65"/>
  <c r="C67" i="65"/>
  <c r="C66" i="65"/>
  <c r="C62" i="65"/>
  <c r="C61" i="65"/>
  <c r="C56" i="65"/>
  <c r="C53" i="65"/>
  <c r="C52" i="65"/>
  <c r="C51" i="65"/>
  <c r="C50" i="65"/>
  <c r="C48" i="65"/>
  <c r="C47" i="65"/>
  <c r="C46" i="65"/>
  <c r="R42" i="65"/>
  <c r="Q42" i="65"/>
  <c r="P42" i="65"/>
  <c r="O42" i="65"/>
  <c r="N42" i="65"/>
  <c r="M42" i="65"/>
  <c r="L42" i="65"/>
  <c r="K42" i="65"/>
  <c r="J42" i="65"/>
  <c r="I42" i="65"/>
  <c r="H42" i="65"/>
  <c r="G42" i="65"/>
  <c r="F42" i="65"/>
  <c r="E42" i="65"/>
  <c r="D42" i="65"/>
  <c r="B42" i="65"/>
  <c r="C41" i="65"/>
  <c r="C40" i="65"/>
  <c r="C39" i="65"/>
  <c r="C37" i="65"/>
  <c r="C36" i="65"/>
  <c r="C35" i="65"/>
  <c r="C34" i="65"/>
  <c r="C33" i="65"/>
  <c r="C31" i="65"/>
  <c r="C30" i="65"/>
  <c r="C29" i="65"/>
  <c r="C28" i="65"/>
  <c r="C27" i="65"/>
  <c r="C26" i="65"/>
  <c r="C25" i="65"/>
  <c r="C24" i="65"/>
  <c r="C23" i="65"/>
  <c r="C22" i="65"/>
  <c r="C20" i="65"/>
  <c r="C19" i="65"/>
  <c r="C18" i="65"/>
  <c r="C17" i="65"/>
  <c r="C16" i="65"/>
  <c r="C15" i="65"/>
  <c r="C14" i="65"/>
  <c r="C13" i="65"/>
  <c r="C12" i="65"/>
  <c r="C11" i="65"/>
  <c r="C10" i="65"/>
  <c r="C9" i="65"/>
  <c r="C8" i="65"/>
  <c r="C42" i="65" s="1"/>
  <c r="C7" i="65"/>
  <c r="C81" i="64"/>
  <c r="C77" i="64"/>
  <c r="C76" i="64"/>
  <c r="C75" i="64"/>
  <c r="C73" i="64"/>
  <c r="C72" i="64"/>
  <c r="C70" i="64"/>
  <c r="C67" i="64"/>
  <c r="C66" i="64"/>
  <c r="C62" i="64"/>
  <c r="C61" i="64"/>
  <c r="C56" i="64"/>
  <c r="C53" i="64"/>
  <c r="C52" i="64"/>
  <c r="C51" i="64"/>
  <c r="C50" i="64"/>
  <c r="C48" i="64"/>
  <c r="C47" i="64"/>
  <c r="C46" i="64"/>
  <c r="R42" i="64"/>
  <c r="Q42" i="64"/>
  <c r="P42" i="64"/>
  <c r="O42" i="64"/>
  <c r="N42" i="64"/>
  <c r="M42" i="64"/>
  <c r="L42" i="64"/>
  <c r="K42" i="64"/>
  <c r="J42" i="64"/>
  <c r="I42" i="64"/>
  <c r="H42" i="64"/>
  <c r="G42" i="64"/>
  <c r="F42" i="64"/>
  <c r="E42" i="64"/>
  <c r="D42" i="64"/>
  <c r="B42" i="64"/>
  <c r="C41" i="64"/>
  <c r="C40" i="64"/>
  <c r="C39" i="64"/>
  <c r="C37" i="64"/>
  <c r="C36" i="64"/>
  <c r="C35" i="64"/>
  <c r="C34" i="64"/>
  <c r="C33" i="64"/>
  <c r="C31" i="64"/>
  <c r="C30" i="64"/>
  <c r="C29" i="64"/>
  <c r="C28" i="64"/>
  <c r="C27" i="64"/>
  <c r="C26" i="64"/>
  <c r="C25" i="64"/>
  <c r="C24" i="64"/>
  <c r="C23" i="64"/>
  <c r="C22" i="64"/>
  <c r="C20" i="64"/>
  <c r="C19" i="64"/>
  <c r="C18" i="64"/>
  <c r="C17" i="64"/>
  <c r="C16" i="64"/>
  <c r="C15" i="64"/>
  <c r="C14" i="64"/>
  <c r="C13" i="64"/>
  <c r="C12" i="64"/>
  <c r="C11" i="64"/>
  <c r="C10" i="64"/>
  <c r="C9" i="64"/>
  <c r="C8" i="64"/>
  <c r="C42" i="64" s="1"/>
  <c r="C7" i="64"/>
  <c r="C81" i="63"/>
  <c r="C77" i="63"/>
  <c r="C76" i="63"/>
  <c r="C75" i="63"/>
  <c r="C73" i="63"/>
  <c r="C72" i="63"/>
  <c r="C70" i="63"/>
  <c r="C67" i="63"/>
  <c r="C66" i="63"/>
  <c r="C62" i="63"/>
  <c r="C61" i="63"/>
  <c r="C56" i="63"/>
  <c r="C53" i="63"/>
  <c r="C52" i="63"/>
  <c r="C51" i="63"/>
  <c r="C50" i="63"/>
  <c r="C48" i="63"/>
  <c r="C47" i="63"/>
  <c r="C46" i="63"/>
  <c r="R42" i="63"/>
  <c r="Q42" i="63"/>
  <c r="P42" i="63"/>
  <c r="O42" i="63"/>
  <c r="N42" i="63"/>
  <c r="M42" i="63"/>
  <c r="L42" i="63"/>
  <c r="K42" i="63"/>
  <c r="J42" i="63"/>
  <c r="I42" i="63"/>
  <c r="H42" i="63"/>
  <c r="G42" i="63"/>
  <c r="F42" i="63"/>
  <c r="E42" i="63"/>
  <c r="D42" i="63"/>
  <c r="B42" i="63"/>
  <c r="C41" i="63"/>
  <c r="C40" i="63"/>
  <c r="C39" i="63"/>
  <c r="C37" i="63"/>
  <c r="C36" i="63"/>
  <c r="C35" i="63"/>
  <c r="C34" i="63"/>
  <c r="C33" i="63"/>
  <c r="C31" i="63"/>
  <c r="C30" i="63"/>
  <c r="C29" i="63"/>
  <c r="C28" i="63"/>
  <c r="C27" i="63"/>
  <c r="C26" i="63"/>
  <c r="C25" i="63"/>
  <c r="C24" i="63"/>
  <c r="C23" i="63"/>
  <c r="C22" i="63"/>
  <c r="C20" i="63"/>
  <c r="C19" i="63"/>
  <c r="C18" i="63"/>
  <c r="C17" i="63"/>
  <c r="C16" i="63"/>
  <c r="C15" i="63"/>
  <c r="C14" i="63"/>
  <c r="C13" i="63"/>
  <c r="C12" i="63"/>
  <c r="C11" i="63"/>
  <c r="C10" i="63"/>
  <c r="C9" i="63"/>
  <c r="C8" i="63"/>
  <c r="C42" i="63" s="1"/>
  <c r="C7" i="63"/>
  <c r="C81" i="62"/>
  <c r="C77" i="62"/>
  <c r="C76" i="62"/>
  <c r="C75" i="62"/>
  <c r="C73" i="62"/>
  <c r="C72" i="62"/>
  <c r="C70" i="62"/>
  <c r="C67" i="62"/>
  <c r="C66" i="62"/>
  <c r="C62" i="62"/>
  <c r="C61" i="62"/>
  <c r="C56" i="62"/>
  <c r="C53" i="62"/>
  <c r="C52" i="62"/>
  <c r="C51" i="62"/>
  <c r="C50" i="62"/>
  <c r="C48" i="62"/>
  <c r="C47" i="62"/>
  <c r="C46" i="62"/>
  <c r="X42" i="62"/>
  <c r="W42" i="62"/>
  <c r="V42" i="62"/>
  <c r="U42" i="62"/>
  <c r="T42" i="62"/>
  <c r="S42" i="62"/>
  <c r="R42" i="62"/>
  <c r="Q42" i="62"/>
  <c r="P42" i="62"/>
  <c r="O42" i="62"/>
  <c r="N42" i="62"/>
  <c r="M42" i="62"/>
  <c r="L42" i="62"/>
  <c r="K42" i="62"/>
  <c r="J42" i="62"/>
  <c r="I42" i="62"/>
  <c r="H42" i="62"/>
  <c r="G42" i="62"/>
  <c r="F42" i="62"/>
  <c r="E42" i="62"/>
  <c r="D42" i="62"/>
  <c r="B42" i="62"/>
  <c r="C41" i="62"/>
  <c r="C40" i="62"/>
  <c r="C39" i="62"/>
  <c r="C37" i="62"/>
  <c r="C36" i="62"/>
  <c r="C35" i="62"/>
  <c r="C34" i="62"/>
  <c r="C33" i="62"/>
  <c r="C31" i="62"/>
  <c r="C30" i="62"/>
  <c r="C29" i="62"/>
  <c r="C28" i="62"/>
  <c r="C27" i="62"/>
  <c r="C26" i="62"/>
  <c r="C25" i="62"/>
  <c r="C24" i="62"/>
  <c r="C23" i="62"/>
  <c r="C22" i="62"/>
  <c r="C20" i="62"/>
  <c r="C19" i="62"/>
  <c r="C18" i="62"/>
  <c r="C17" i="62"/>
  <c r="C16" i="62"/>
  <c r="C15" i="62"/>
  <c r="C14" i="62"/>
  <c r="C13" i="62"/>
  <c r="C12" i="62"/>
  <c r="C11" i="62"/>
  <c r="C10" i="62"/>
  <c r="C9" i="62"/>
  <c r="C8" i="62"/>
  <c r="C7" i="62"/>
  <c r="C42" i="62" s="1"/>
  <c r="C81" i="61"/>
  <c r="C77" i="61"/>
  <c r="C76" i="61"/>
  <c r="C75" i="61"/>
  <c r="C73" i="61"/>
  <c r="C72" i="61"/>
  <c r="C70" i="61"/>
  <c r="C67" i="61"/>
  <c r="C66" i="61"/>
  <c r="C62" i="61"/>
  <c r="C61" i="61"/>
  <c r="C56" i="61"/>
  <c r="C53" i="61"/>
  <c r="C52" i="61"/>
  <c r="C51" i="61"/>
  <c r="C50" i="61"/>
  <c r="C48" i="61"/>
  <c r="C47" i="61"/>
  <c r="C46" i="61"/>
  <c r="R42" i="61"/>
  <c r="Q42" i="61"/>
  <c r="P42" i="61"/>
  <c r="O42" i="61"/>
  <c r="N42" i="61"/>
  <c r="M42" i="61"/>
  <c r="L42" i="61"/>
  <c r="K42" i="61"/>
  <c r="J42" i="61"/>
  <c r="I42" i="61"/>
  <c r="H42" i="61"/>
  <c r="G42" i="61"/>
  <c r="F42" i="61"/>
  <c r="E42" i="61"/>
  <c r="D42" i="61"/>
  <c r="B42" i="61"/>
  <c r="C41" i="61"/>
  <c r="C40" i="61"/>
  <c r="C39" i="61"/>
  <c r="C37" i="61"/>
  <c r="C36" i="61"/>
  <c r="C35" i="61"/>
  <c r="C34" i="61"/>
  <c r="C33" i="61"/>
  <c r="C31" i="61"/>
  <c r="C30" i="61"/>
  <c r="C29" i="61"/>
  <c r="C28" i="61"/>
  <c r="C27" i="61"/>
  <c r="C26" i="61"/>
  <c r="C25" i="61"/>
  <c r="C24" i="61"/>
  <c r="C23" i="61"/>
  <c r="C22" i="61"/>
  <c r="C20" i="61"/>
  <c r="C19" i="61"/>
  <c r="C18" i="61"/>
  <c r="C17" i="61"/>
  <c r="C16" i="61"/>
  <c r="C15" i="61"/>
  <c r="C14" i="61"/>
  <c r="C13" i="61"/>
  <c r="C12" i="61"/>
  <c r="C11" i="61"/>
  <c r="C10" i="61"/>
  <c r="C9" i="61"/>
  <c r="C8" i="61"/>
  <c r="C7" i="61"/>
  <c r="C42" i="61" s="1"/>
  <c r="C81" i="60"/>
  <c r="C77" i="60"/>
  <c r="C76" i="60"/>
  <c r="C75" i="60"/>
  <c r="C73" i="60"/>
  <c r="C72" i="60"/>
  <c r="C70" i="60"/>
  <c r="C67" i="60"/>
  <c r="C66" i="60"/>
  <c r="C62" i="60"/>
  <c r="C61" i="60"/>
  <c r="C56" i="60"/>
  <c r="C53" i="60"/>
  <c r="C52" i="60"/>
  <c r="C51" i="60"/>
  <c r="C50" i="60"/>
  <c r="C48" i="60"/>
  <c r="C47" i="60"/>
  <c r="C46" i="60"/>
  <c r="R42" i="60"/>
  <c r="Q42" i="60"/>
  <c r="P42" i="60"/>
  <c r="O42" i="60"/>
  <c r="N42" i="60"/>
  <c r="M42" i="60"/>
  <c r="L42" i="60"/>
  <c r="K42" i="60"/>
  <c r="J42" i="60"/>
  <c r="I42" i="60"/>
  <c r="H42" i="60"/>
  <c r="G42" i="60"/>
  <c r="F42" i="60"/>
  <c r="E42" i="60"/>
  <c r="D42" i="60"/>
  <c r="B42" i="60"/>
  <c r="C41" i="60"/>
  <c r="C40" i="60"/>
  <c r="C39" i="60"/>
  <c r="C37" i="60"/>
  <c r="C36" i="60"/>
  <c r="C35" i="60"/>
  <c r="C34" i="60"/>
  <c r="C33" i="60"/>
  <c r="C31" i="60"/>
  <c r="C30" i="60"/>
  <c r="C29" i="60"/>
  <c r="C28" i="60"/>
  <c r="C27" i="60"/>
  <c r="C26" i="60"/>
  <c r="C25" i="60"/>
  <c r="C24" i="60"/>
  <c r="C23" i="60"/>
  <c r="C22" i="60"/>
  <c r="C20" i="60"/>
  <c r="C19" i="60"/>
  <c r="C18" i="60"/>
  <c r="C17" i="60"/>
  <c r="C16" i="60"/>
  <c r="C15" i="60"/>
  <c r="C14" i="60"/>
  <c r="C13" i="60"/>
  <c r="C12" i="60"/>
  <c r="C11" i="60"/>
  <c r="C10" i="60"/>
  <c r="C9" i="60"/>
  <c r="C8" i="60"/>
  <c r="C7" i="60"/>
  <c r="C42" i="60" s="1"/>
  <c r="C81" i="59"/>
  <c r="C77" i="59"/>
  <c r="C76" i="59"/>
  <c r="C75" i="59"/>
  <c r="C73" i="59"/>
  <c r="C72" i="59"/>
  <c r="C70" i="59"/>
  <c r="C67" i="59"/>
  <c r="C66" i="59"/>
  <c r="C62" i="59"/>
  <c r="C61" i="59"/>
  <c r="C56" i="59"/>
  <c r="C53" i="59"/>
  <c r="C52" i="59"/>
  <c r="C51" i="59"/>
  <c r="C50" i="59"/>
  <c r="C48" i="59"/>
  <c r="C47" i="59"/>
  <c r="C46" i="59"/>
  <c r="R42" i="59"/>
  <c r="Q42" i="59"/>
  <c r="P42" i="59"/>
  <c r="O42" i="59"/>
  <c r="N42" i="59"/>
  <c r="M42" i="59"/>
  <c r="L42" i="59"/>
  <c r="K42" i="59"/>
  <c r="J42" i="59"/>
  <c r="I42" i="59"/>
  <c r="H42" i="59"/>
  <c r="G42" i="59"/>
  <c r="F42" i="59"/>
  <c r="E42" i="59"/>
  <c r="D42" i="59"/>
  <c r="B42" i="59"/>
  <c r="C41" i="59"/>
  <c r="C40" i="59"/>
  <c r="C39" i="59"/>
  <c r="C37" i="59"/>
  <c r="C36" i="59"/>
  <c r="C35" i="59"/>
  <c r="C34" i="59"/>
  <c r="C33" i="59"/>
  <c r="C31" i="59"/>
  <c r="C30" i="59"/>
  <c r="C29" i="59"/>
  <c r="C28" i="59"/>
  <c r="C27" i="59"/>
  <c r="C26" i="59"/>
  <c r="C25" i="59"/>
  <c r="C24" i="59"/>
  <c r="C23" i="59"/>
  <c r="C22" i="59"/>
  <c r="C20" i="59"/>
  <c r="C19" i="59"/>
  <c r="C18" i="59"/>
  <c r="C17" i="59"/>
  <c r="C16" i="59"/>
  <c r="C15" i="59"/>
  <c r="C14" i="59"/>
  <c r="C13" i="59"/>
  <c r="C12" i="59"/>
  <c r="C11" i="59"/>
  <c r="C10" i="59"/>
  <c r="C9" i="59"/>
  <c r="C8" i="59"/>
  <c r="C7" i="59"/>
  <c r="C42" i="59" s="1"/>
  <c r="C81" i="58"/>
  <c r="C77" i="58"/>
  <c r="C76" i="58"/>
  <c r="C75" i="58"/>
  <c r="C73" i="58"/>
  <c r="C72" i="58"/>
  <c r="C70" i="58"/>
  <c r="C67" i="58"/>
  <c r="C66" i="58"/>
  <c r="C62" i="58"/>
  <c r="C61" i="58"/>
  <c r="C56" i="58"/>
  <c r="C53" i="58"/>
  <c r="C52" i="58"/>
  <c r="C51" i="58"/>
  <c r="C50" i="58"/>
  <c r="C48" i="58"/>
  <c r="C47" i="58"/>
  <c r="C46" i="58"/>
  <c r="R42" i="58"/>
  <c r="Q42" i="58"/>
  <c r="P42" i="58"/>
  <c r="O42" i="58"/>
  <c r="N42" i="58"/>
  <c r="M42" i="58"/>
  <c r="L42" i="58"/>
  <c r="K42" i="58"/>
  <c r="J42" i="58"/>
  <c r="I42" i="58"/>
  <c r="H42" i="58"/>
  <c r="G42" i="58"/>
  <c r="F42" i="58"/>
  <c r="E42" i="58"/>
  <c r="D42" i="58"/>
  <c r="B42" i="58"/>
  <c r="C41" i="58"/>
  <c r="C40" i="58"/>
  <c r="C39" i="58"/>
  <c r="C37" i="58"/>
  <c r="C36" i="58"/>
  <c r="C35" i="58"/>
  <c r="C34" i="58"/>
  <c r="C33" i="58"/>
  <c r="C31" i="58"/>
  <c r="C30" i="58"/>
  <c r="C29" i="58"/>
  <c r="C28" i="58"/>
  <c r="C27" i="58"/>
  <c r="C26" i="58"/>
  <c r="C25" i="58"/>
  <c r="C24" i="58"/>
  <c r="C23" i="58"/>
  <c r="C22" i="58"/>
  <c r="C20" i="58"/>
  <c r="C19" i="58"/>
  <c r="C18" i="58"/>
  <c r="C17" i="58"/>
  <c r="C16" i="58"/>
  <c r="C15" i="58"/>
  <c r="C14" i="58"/>
  <c r="C13" i="58"/>
  <c r="C12" i="58"/>
  <c r="C11" i="58"/>
  <c r="C10" i="58"/>
  <c r="C9" i="58"/>
  <c r="C8" i="58"/>
  <c r="C7" i="58"/>
  <c r="C42" i="58" s="1"/>
  <c r="C81" i="57"/>
  <c r="C77" i="57"/>
  <c r="C76" i="57"/>
  <c r="C75" i="57"/>
  <c r="C73" i="57"/>
  <c r="C72" i="57"/>
  <c r="C70" i="57"/>
  <c r="C67" i="57"/>
  <c r="C66" i="57"/>
  <c r="C62" i="57"/>
  <c r="C61" i="57"/>
  <c r="C56" i="57"/>
  <c r="C53" i="57"/>
  <c r="C52" i="57"/>
  <c r="C51" i="57"/>
  <c r="C50" i="57"/>
  <c r="C48" i="57"/>
  <c r="C47" i="57"/>
  <c r="C46" i="57"/>
  <c r="R42" i="57"/>
  <c r="Q42" i="57"/>
  <c r="P42" i="57"/>
  <c r="O42" i="57"/>
  <c r="N42" i="57"/>
  <c r="M42" i="57"/>
  <c r="L42" i="57"/>
  <c r="K42" i="57"/>
  <c r="J42" i="57"/>
  <c r="I42" i="57"/>
  <c r="H42" i="57"/>
  <c r="G42" i="57"/>
  <c r="F42" i="57"/>
  <c r="E42" i="57"/>
  <c r="D42" i="57"/>
  <c r="B42" i="57"/>
  <c r="C41" i="57"/>
  <c r="C40" i="57"/>
  <c r="C39" i="57"/>
  <c r="C37" i="57"/>
  <c r="C36" i="57"/>
  <c r="C35" i="57"/>
  <c r="C34" i="57"/>
  <c r="C33" i="57"/>
  <c r="C31" i="57"/>
  <c r="C30" i="57"/>
  <c r="C29" i="57"/>
  <c r="C28" i="57"/>
  <c r="C27" i="57"/>
  <c r="C26" i="57"/>
  <c r="C25" i="57"/>
  <c r="C24" i="57"/>
  <c r="C23" i="57"/>
  <c r="C22" i="57"/>
  <c r="C20" i="57"/>
  <c r="C19" i="57"/>
  <c r="C18" i="57"/>
  <c r="C17" i="57"/>
  <c r="C16" i="57"/>
  <c r="C15" i="57"/>
  <c r="C14" i="57"/>
  <c r="C13" i="57"/>
  <c r="C12" i="57"/>
  <c r="C11" i="57"/>
  <c r="C10" i="57"/>
  <c r="C9" i="57"/>
  <c r="C8" i="57"/>
  <c r="C7" i="57"/>
  <c r="C42" i="57" s="1"/>
  <c r="C81" i="56"/>
  <c r="C77" i="56"/>
  <c r="C76" i="56"/>
  <c r="C75" i="56"/>
  <c r="C73" i="56"/>
  <c r="C72" i="56"/>
  <c r="C70" i="56"/>
  <c r="C67" i="56"/>
  <c r="C66" i="56"/>
  <c r="C62" i="56"/>
  <c r="C61" i="56"/>
  <c r="C56" i="56"/>
  <c r="C53" i="56"/>
  <c r="C52" i="56"/>
  <c r="C51" i="56"/>
  <c r="C50" i="56"/>
  <c r="C48" i="56"/>
  <c r="C47" i="56"/>
  <c r="C46" i="56"/>
  <c r="R42" i="56"/>
  <c r="Q42" i="56"/>
  <c r="P42" i="56"/>
  <c r="O42" i="56"/>
  <c r="N42" i="56"/>
  <c r="M42" i="56"/>
  <c r="L42" i="56"/>
  <c r="K42" i="56"/>
  <c r="J42" i="56"/>
  <c r="I42" i="56"/>
  <c r="H42" i="56"/>
  <c r="G42" i="56"/>
  <c r="F42" i="56"/>
  <c r="E42" i="56"/>
  <c r="D42" i="56"/>
  <c r="B42" i="56"/>
  <c r="C41" i="56"/>
  <c r="C40" i="56"/>
  <c r="C39" i="56"/>
  <c r="C37" i="56"/>
  <c r="C36" i="56"/>
  <c r="C35" i="56"/>
  <c r="C34" i="56"/>
  <c r="C33" i="56"/>
  <c r="C31" i="56"/>
  <c r="C30" i="56"/>
  <c r="C29" i="56"/>
  <c r="C28" i="56"/>
  <c r="C27" i="56"/>
  <c r="C26" i="56"/>
  <c r="C25" i="56"/>
  <c r="C24" i="56"/>
  <c r="C23" i="56"/>
  <c r="C22" i="56"/>
  <c r="C20" i="56"/>
  <c r="C19" i="56"/>
  <c r="C18" i="56"/>
  <c r="C17" i="56"/>
  <c r="C16" i="56"/>
  <c r="C15" i="56"/>
  <c r="C14" i="56"/>
  <c r="C13" i="56"/>
  <c r="C12" i="56"/>
  <c r="C11" i="56"/>
  <c r="C10" i="56"/>
  <c r="C9" i="56"/>
  <c r="C8" i="56"/>
  <c r="C7" i="56"/>
  <c r="C42" i="56" s="1"/>
  <c r="C81" i="55"/>
  <c r="C77" i="55"/>
  <c r="C76" i="55"/>
  <c r="C75" i="55"/>
  <c r="C73" i="55"/>
  <c r="C72" i="55"/>
  <c r="C70" i="55"/>
  <c r="C67" i="55"/>
  <c r="C66" i="55"/>
  <c r="C62" i="55"/>
  <c r="C61" i="55"/>
  <c r="C56" i="55"/>
  <c r="C53" i="55"/>
  <c r="C52" i="55"/>
  <c r="C51" i="55"/>
  <c r="C50" i="55"/>
  <c r="C48" i="55"/>
  <c r="C47" i="55"/>
  <c r="C46" i="55"/>
  <c r="R42" i="55"/>
  <c r="Q42" i="55"/>
  <c r="P42" i="55"/>
  <c r="O42" i="55"/>
  <c r="N42" i="55"/>
  <c r="M42" i="55"/>
  <c r="L42" i="55"/>
  <c r="K42" i="55"/>
  <c r="J42" i="55"/>
  <c r="I42" i="55"/>
  <c r="H42" i="55"/>
  <c r="G42" i="55"/>
  <c r="F42" i="55"/>
  <c r="E42" i="55"/>
  <c r="D42" i="55"/>
  <c r="B42" i="55"/>
  <c r="C41" i="55"/>
  <c r="C40" i="55"/>
  <c r="C39" i="55"/>
  <c r="C37" i="55"/>
  <c r="C36" i="55"/>
  <c r="C35" i="55"/>
  <c r="C34" i="55"/>
  <c r="C33" i="55"/>
  <c r="C31" i="55"/>
  <c r="C30" i="55"/>
  <c r="C29" i="55"/>
  <c r="C28" i="55"/>
  <c r="C27" i="55"/>
  <c r="C26" i="55"/>
  <c r="C25" i="55"/>
  <c r="C24" i="55"/>
  <c r="C23" i="55"/>
  <c r="C22" i="55"/>
  <c r="C20" i="55"/>
  <c r="C19" i="55"/>
  <c r="C18" i="55"/>
  <c r="C17" i="55"/>
  <c r="C16" i="55"/>
  <c r="C15" i="55"/>
  <c r="C14" i="55"/>
  <c r="C13" i="55"/>
  <c r="C12" i="55"/>
  <c r="C11" i="55"/>
  <c r="C10" i="55"/>
  <c r="C9" i="55"/>
  <c r="C8" i="55"/>
  <c r="C7" i="55"/>
  <c r="C42" i="55" s="1"/>
  <c r="C81" i="54"/>
  <c r="C77" i="54"/>
  <c r="C76" i="54"/>
  <c r="C75" i="54"/>
  <c r="C73" i="54"/>
  <c r="C72" i="54"/>
  <c r="C70" i="54"/>
  <c r="C67" i="54"/>
  <c r="C66" i="54"/>
  <c r="C62" i="54"/>
  <c r="C61" i="54"/>
  <c r="C56" i="54"/>
  <c r="C53" i="54"/>
  <c r="C52" i="54"/>
  <c r="C51" i="54"/>
  <c r="C50" i="54"/>
  <c r="C48" i="54"/>
  <c r="C47" i="54"/>
  <c r="C46" i="54"/>
  <c r="R42" i="54"/>
  <c r="Q42" i="54"/>
  <c r="P42" i="54"/>
  <c r="O42" i="54"/>
  <c r="N42" i="54"/>
  <c r="M42" i="54"/>
  <c r="L42" i="54"/>
  <c r="K42" i="54"/>
  <c r="J42" i="54"/>
  <c r="I42" i="54"/>
  <c r="H42" i="54"/>
  <c r="G42" i="54"/>
  <c r="F42" i="54"/>
  <c r="E42" i="54"/>
  <c r="D42" i="54"/>
  <c r="B42" i="54"/>
  <c r="C41" i="54"/>
  <c r="C40" i="54"/>
  <c r="C39" i="54"/>
  <c r="C37" i="54"/>
  <c r="C36" i="54"/>
  <c r="C35" i="54"/>
  <c r="C34" i="54"/>
  <c r="C33" i="54"/>
  <c r="C31" i="54"/>
  <c r="C30" i="54"/>
  <c r="C29" i="54"/>
  <c r="C28" i="54"/>
  <c r="C27" i="54"/>
  <c r="C26" i="54"/>
  <c r="C25" i="54"/>
  <c r="C24" i="54"/>
  <c r="C23" i="54"/>
  <c r="C22" i="54"/>
  <c r="C20" i="54"/>
  <c r="C19" i="54"/>
  <c r="C18" i="54"/>
  <c r="C17" i="54"/>
  <c r="C16" i="54"/>
  <c r="C15" i="54"/>
  <c r="C14" i="54"/>
  <c r="C13" i="54"/>
  <c r="C12" i="54"/>
  <c r="C11" i="54"/>
  <c r="C10" i="54"/>
  <c r="C9" i="54"/>
  <c r="C8" i="54"/>
  <c r="C7" i="54"/>
  <c r="C42" i="54" s="1"/>
  <c r="C81" i="53"/>
  <c r="C77" i="53"/>
  <c r="C76" i="53"/>
  <c r="C75" i="53"/>
  <c r="C73" i="53"/>
  <c r="C72" i="53"/>
  <c r="C70" i="53"/>
  <c r="C67" i="53"/>
  <c r="C66" i="53"/>
  <c r="C62" i="53"/>
  <c r="C61" i="53"/>
  <c r="C56" i="53"/>
  <c r="C53" i="53"/>
  <c r="C52" i="53"/>
  <c r="C51" i="53"/>
  <c r="C50" i="53"/>
  <c r="C48" i="53"/>
  <c r="C47" i="53"/>
  <c r="C46" i="53"/>
  <c r="R42" i="53"/>
  <c r="Q42" i="53"/>
  <c r="P42" i="53"/>
  <c r="O42" i="53"/>
  <c r="N42" i="53"/>
  <c r="M42" i="53"/>
  <c r="L42" i="53"/>
  <c r="K42" i="53"/>
  <c r="J42" i="53"/>
  <c r="I42" i="53"/>
  <c r="H42" i="53"/>
  <c r="G42" i="53"/>
  <c r="F42" i="53"/>
  <c r="E42" i="53"/>
  <c r="D42" i="53"/>
  <c r="B42" i="53"/>
  <c r="C41" i="53"/>
  <c r="C40" i="53"/>
  <c r="C39" i="53"/>
  <c r="C37" i="53"/>
  <c r="C36" i="53"/>
  <c r="C35" i="53"/>
  <c r="C34" i="53"/>
  <c r="C33" i="53"/>
  <c r="C31" i="53"/>
  <c r="C30" i="53"/>
  <c r="C29" i="53"/>
  <c r="C28" i="53"/>
  <c r="C27" i="53"/>
  <c r="C26" i="53"/>
  <c r="C25" i="53"/>
  <c r="C24" i="53"/>
  <c r="C23" i="53"/>
  <c r="C22" i="53"/>
  <c r="C20" i="53"/>
  <c r="C19" i="53"/>
  <c r="C18" i="53"/>
  <c r="C17" i="53"/>
  <c r="C16" i="53"/>
  <c r="C15" i="53"/>
  <c r="C14" i="53"/>
  <c r="C13" i="53"/>
  <c r="C12" i="53"/>
  <c r="C11" i="53"/>
  <c r="C10" i="53"/>
  <c r="C9" i="53"/>
  <c r="C8" i="53"/>
  <c r="C7" i="53"/>
  <c r="C42" i="53" s="1"/>
  <c r="C81" i="52"/>
  <c r="C77" i="52"/>
  <c r="C76" i="52"/>
  <c r="C75" i="52"/>
  <c r="C73" i="52"/>
  <c r="C72" i="52"/>
  <c r="C70" i="52"/>
  <c r="C67" i="52"/>
  <c r="C66" i="52"/>
  <c r="C62" i="52"/>
  <c r="C61" i="52"/>
  <c r="C56" i="52"/>
  <c r="C53" i="52"/>
  <c r="C52" i="52"/>
  <c r="C51" i="52"/>
  <c r="C50" i="52"/>
  <c r="C48" i="52"/>
  <c r="C47" i="52"/>
  <c r="C46" i="52"/>
  <c r="V42" i="52"/>
  <c r="U42" i="52"/>
  <c r="T42" i="52"/>
  <c r="S42" i="52"/>
  <c r="R42" i="52"/>
  <c r="Q42" i="52"/>
  <c r="P42" i="52"/>
  <c r="O42" i="52"/>
  <c r="N42" i="52"/>
  <c r="M42" i="52"/>
  <c r="L42" i="52"/>
  <c r="K42" i="52"/>
  <c r="J42" i="52"/>
  <c r="I42" i="52"/>
  <c r="H42" i="52"/>
  <c r="G42" i="52"/>
  <c r="F42" i="52"/>
  <c r="E42" i="52"/>
  <c r="D42" i="52"/>
  <c r="B42" i="52"/>
  <c r="C41" i="52"/>
  <c r="C40" i="52"/>
  <c r="C39" i="52"/>
  <c r="C37" i="52"/>
  <c r="C36" i="52"/>
  <c r="C35" i="52"/>
  <c r="C34" i="52"/>
  <c r="C33" i="52"/>
  <c r="C31" i="52"/>
  <c r="C30" i="52"/>
  <c r="C29" i="52"/>
  <c r="C28" i="52"/>
  <c r="C27" i="52"/>
  <c r="C26" i="52"/>
  <c r="C25" i="52"/>
  <c r="C24" i="52"/>
  <c r="C23" i="52"/>
  <c r="C22" i="52"/>
  <c r="C20" i="52"/>
  <c r="C19" i="52"/>
  <c r="C18" i="52"/>
  <c r="C17" i="52"/>
  <c r="C16" i="52"/>
  <c r="C15" i="52"/>
  <c r="C14" i="52"/>
  <c r="C13" i="52"/>
  <c r="C12" i="52"/>
  <c r="C11" i="52"/>
  <c r="C10" i="52"/>
  <c r="C9" i="52"/>
  <c r="C8" i="52"/>
  <c r="C7" i="52"/>
  <c r="C42" i="52" s="1"/>
  <c r="C81" i="51"/>
  <c r="C77" i="51"/>
  <c r="C76" i="51"/>
  <c r="C75" i="51"/>
  <c r="C73" i="51"/>
  <c r="C72" i="51"/>
  <c r="C70" i="51"/>
  <c r="C67" i="51"/>
  <c r="C66" i="51"/>
  <c r="C62" i="51"/>
  <c r="C61" i="51"/>
  <c r="C56" i="51"/>
  <c r="C53" i="51"/>
  <c r="C52" i="51"/>
  <c r="C51" i="51"/>
  <c r="C50" i="51"/>
  <c r="C48" i="51"/>
  <c r="C47" i="51"/>
  <c r="C46" i="51"/>
  <c r="R42" i="51"/>
  <c r="Q42" i="51"/>
  <c r="P42" i="51"/>
  <c r="O42" i="51"/>
  <c r="N42" i="51"/>
  <c r="M42" i="51"/>
  <c r="L42" i="51"/>
  <c r="K42" i="51"/>
  <c r="J42" i="51"/>
  <c r="I42" i="51"/>
  <c r="H42" i="51"/>
  <c r="G42" i="51"/>
  <c r="F42" i="51"/>
  <c r="E42" i="51"/>
  <c r="D42" i="51"/>
  <c r="B42" i="51"/>
  <c r="C41" i="51"/>
  <c r="C40" i="51"/>
  <c r="C39" i="51"/>
  <c r="C37" i="51"/>
  <c r="C36" i="51"/>
  <c r="C35" i="51"/>
  <c r="C34" i="51"/>
  <c r="C33" i="51"/>
  <c r="C31" i="51"/>
  <c r="C30" i="51"/>
  <c r="C29" i="51"/>
  <c r="C28" i="51"/>
  <c r="C27" i="51"/>
  <c r="C26" i="51"/>
  <c r="C25" i="51"/>
  <c r="C24" i="51"/>
  <c r="C23" i="51"/>
  <c r="C22" i="51"/>
  <c r="C20" i="51"/>
  <c r="C19" i="51"/>
  <c r="C18" i="51"/>
  <c r="C17" i="51"/>
  <c r="C16" i="51"/>
  <c r="C15" i="51"/>
  <c r="C14" i="51"/>
  <c r="C13" i="51"/>
  <c r="C12" i="51"/>
  <c r="C11" i="51"/>
  <c r="C10" i="51"/>
  <c r="C9" i="51"/>
  <c r="C8" i="51"/>
  <c r="C7" i="51"/>
  <c r="C42" i="51" s="1"/>
  <c r="C81" i="50"/>
  <c r="C77" i="50"/>
  <c r="C76" i="50"/>
  <c r="C75" i="50"/>
  <c r="C73" i="50"/>
  <c r="C72" i="50"/>
  <c r="C70" i="50"/>
  <c r="C67" i="50"/>
  <c r="C66" i="50"/>
  <c r="C62" i="50"/>
  <c r="C61" i="50"/>
  <c r="C56" i="50"/>
  <c r="C53" i="50"/>
  <c r="C52" i="50"/>
  <c r="C51" i="50"/>
  <c r="C50" i="50"/>
  <c r="C48" i="50"/>
  <c r="C47" i="50"/>
  <c r="C46" i="50"/>
  <c r="R42" i="50"/>
  <c r="Q42" i="50"/>
  <c r="P42" i="50"/>
  <c r="O42" i="50"/>
  <c r="N42" i="50"/>
  <c r="M42" i="50"/>
  <c r="L42" i="50"/>
  <c r="K42" i="50"/>
  <c r="J42" i="50"/>
  <c r="I42" i="50"/>
  <c r="H42" i="50"/>
  <c r="G42" i="50"/>
  <c r="F42" i="50"/>
  <c r="E42" i="50"/>
  <c r="D42" i="50"/>
  <c r="B42" i="50"/>
  <c r="C41" i="50"/>
  <c r="C40" i="50"/>
  <c r="C39" i="50"/>
  <c r="C37" i="50"/>
  <c r="C36" i="50"/>
  <c r="C35" i="50"/>
  <c r="C34" i="50"/>
  <c r="C33" i="50"/>
  <c r="C31" i="50"/>
  <c r="C30" i="50"/>
  <c r="C29" i="50"/>
  <c r="C28" i="50"/>
  <c r="C27" i="50"/>
  <c r="C26" i="50"/>
  <c r="C25" i="50"/>
  <c r="C24" i="50"/>
  <c r="C23" i="50"/>
  <c r="C22" i="50"/>
  <c r="C20" i="50"/>
  <c r="C19" i="50"/>
  <c r="C18" i="50"/>
  <c r="C17" i="50"/>
  <c r="C16" i="50"/>
  <c r="C15" i="50"/>
  <c r="C14" i="50"/>
  <c r="C13" i="50"/>
  <c r="C12" i="50"/>
  <c r="C11" i="50"/>
  <c r="C10" i="50"/>
  <c r="C9" i="50"/>
  <c r="C8" i="50"/>
  <c r="C7" i="50"/>
  <c r="C42" i="50" s="1"/>
  <c r="C81" i="49"/>
  <c r="C77" i="49"/>
  <c r="C76" i="49"/>
  <c r="C75" i="49"/>
  <c r="C73" i="49"/>
  <c r="C72" i="49"/>
  <c r="C70" i="49"/>
  <c r="C67" i="49"/>
  <c r="C66" i="49"/>
  <c r="C62" i="49"/>
  <c r="C61" i="49"/>
  <c r="C56" i="49"/>
  <c r="C53" i="49"/>
  <c r="C52" i="49"/>
  <c r="C51" i="49"/>
  <c r="C50" i="49"/>
  <c r="C48" i="49"/>
  <c r="C47" i="49"/>
  <c r="C46" i="49"/>
  <c r="R42" i="49"/>
  <c r="Q42" i="49"/>
  <c r="P42" i="49"/>
  <c r="O42" i="49"/>
  <c r="N42" i="49"/>
  <c r="M42" i="49"/>
  <c r="L42" i="49"/>
  <c r="K42" i="49"/>
  <c r="J42" i="49"/>
  <c r="I42" i="49"/>
  <c r="H42" i="49"/>
  <c r="G42" i="49"/>
  <c r="F42" i="49"/>
  <c r="E42" i="49"/>
  <c r="D42" i="49"/>
  <c r="B42" i="49"/>
  <c r="C41" i="49"/>
  <c r="C40" i="49"/>
  <c r="C39" i="49"/>
  <c r="C37" i="49"/>
  <c r="C36" i="49"/>
  <c r="C35" i="49"/>
  <c r="C34" i="49"/>
  <c r="C33" i="49"/>
  <c r="C31" i="49"/>
  <c r="C30" i="49"/>
  <c r="C29" i="49"/>
  <c r="C28" i="49"/>
  <c r="C27" i="49"/>
  <c r="C26" i="49"/>
  <c r="C25" i="49"/>
  <c r="C24" i="49"/>
  <c r="C23" i="49"/>
  <c r="C22" i="49"/>
  <c r="C20" i="49"/>
  <c r="C19" i="49"/>
  <c r="C18" i="49"/>
  <c r="C17" i="49"/>
  <c r="C16" i="49"/>
  <c r="C15" i="49"/>
  <c r="C14" i="49"/>
  <c r="C13" i="49"/>
  <c r="C12" i="49"/>
  <c r="C11" i="49"/>
  <c r="C10" i="49"/>
  <c r="C9" i="49"/>
  <c r="C8" i="49"/>
  <c r="C7" i="49"/>
  <c r="C42" i="49" s="1"/>
  <c r="C81" i="48"/>
  <c r="C77" i="48"/>
  <c r="C76" i="48"/>
  <c r="C75" i="48"/>
  <c r="C73" i="48"/>
  <c r="C72" i="48"/>
  <c r="C70" i="48"/>
  <c r="C67" i="48"/>
  <c r="C66" i="48"/>
  <c r="C62" i="48"/>
  <c r="C61" i="48"/>
  <c r="C56" i="48"/>
  <c r="C53" i="48"/>
  <c r="C52" i="48"/>
  <c r="C51" i="48"/>
  <c r="C50" i="48"/>
  <c r="C48" i="48"/>
  <c r="C47" i="48"/>
  <c r="C46" i="48"/>
  <c r="R42" i="48"/>
  <c r="Q42" i="48"/>
  <c r="P42" i="48"/>
  <c r="O42" i="48"/>
  <c r="N42" i="48"/>
  <c r="M42" i="48"/>
  <c r="L42" i="48"/>
  <c r="K42" i="48"/>
  <c r="J42" i="48"/>
  <c r="I42" i="48"/>
  <c r="H42" i="48"/>
  <c r="G42" i="48"/>
  <c r="F42" i="48"/>
  <c r="E42" i="48"/>
  <c r="D42" i="48"/>
  <c r="B42" i="48"/>
  <c r="C41" i="48"/>
  <c r="C40" i="48"/>
  <c r="C39" i="48"/>
  <c r="C37" i="48"/>
  <c r="C36" i="48"/>
  <c r="C35" i="48"/>
  <c r="C34" i="48"/>
  <c r="C33" i="48"/>
  <c r="C31" i="48"/>
  <c r="C30" i="48"/>
  <c r="C29" i="48"/>
  <c r="C28" i="48"/>
  <c r="C27" i="48"/>
  <c r="C26" i="48"/>
  <c r="C25" i="48"/>
  <c r="C24" i="48"/>
  <c r="C23" i="48"/>
  <c r="C22" i="48"/>
  <c r="C20" i="48"/>
  <c r="C19" i="48"/>
  <c r="C18" i="48"/>
  <c r="C17" i="48"/>
  <c r="C16" i="48"/>
  <c r="C15" i="48"/>
  <c r="C14" i="48"/>
  <c r="C13" i="48"/>
  <c r="C12" i="48"/>
  <c r="C11" i="48"/>
  <c r="C10" i="48"/>
  <c r="C9" i="48"/>
  <c r="C8" i="48"/>
  <c r="C7" i="48"/>
  <c r="C42" i="48" s="1"/>
  <c r="C81" i="47"/>
  <c r="C77" i="47"/>
  <c r="C76" i="47"/>
  <c r="C75" i="47"/>
  <c r="C73" i="47"/>
  <c r="C72" i="47"/>
  <c r="C70" i="47"/>
  <c r="C67" i="47"/>
  <c r="C66" i="47"/>
  <c r="C62" i="47"/>
  <c r="C61" i="47"/>
  <c r="C56" i="47"/>
  <c r="C53" i="47"/>
  <c r="C52" i="47"/>
  <c r="C51" i="47"/>
  <c r="C50" i="47"/>
  <c r="C48" i="47"/>
  <c r="C47" i="47"/>
  <c r="C46" i="47"/>
  <c r="R42" i="47"/>
  <c r="Q42" i="47"/>
  <c r="P42" i="47"/>
  <c r="O42" i="47"/>
  <c r="N42" i="47"/>
  <c r="M42" i="47"/>
  <c r="L42" i="47"/>
  <c r="K42" i="47"/>
  <c r="J42" i="47"/>
  <c r="I42" i="47"/>
  <c r="H42" i="47"/>
  <c r="G42" i="47"/>
  <c r="F42" i="47"/>
  <c r="E42" i="47"/>
  <c r="D42" i="47"/>
  <c r="B42" i="47"/>
  <c r="C41" i="47"/>
  <c r="C40" i="47"/>
  <c r="C39" i="47"/>
  <c r="C37" i="47"/>
  <c r="C36" i="47"/>
  <c r="C35" i="47"/>
  <c r="C34" i="47"/>
  <c r="C33" i="47"/>
  <c r="C31" i="47"/>
  <c r="C30" i="47"/>
  <c r="C29" i="47"/>
  <c r="C28" i="47"/>
  <c r="C27" i="47"/>
  <c r="C26" i="47"/>
  <c r="C25" i="47"/>
  <c r="C24" i="47"/>
  <c r="C23" i="47"/>
  <c r="C22" i="47"/>
  <c r="C20" i="47"/>
  <c r="C19" i="47"/>
  <c r="C18" i="47"/>
  <c r="C17" i="47"/>
  <c r="C16" i="47"/>
  <c r="C15" i="47"/>
  <c r="C14" i="47"/>
  <c r="C13" i="47"/>
  <c r="C12" i="47"/>
  <c r="C11" i="47"/>
  <c r="C10" i="47"/>
  <c r="C9" i="47"/>
  <c r="C8" i="47"/>
  <c r="C7" i="47"/>
  <c r="C42" i="47" s="1"/>
  <c r="C81" i="46"/>
  <c r="C77" i="46"/>
  <c r="C76" i="46"/>
  <c r="C75" i="46"/>
  <c r="C73" i="46"/>
  <c r="C72" i="46"/>
  <c r="C70" i="46"/>
  <c r="C67" i="46"/>
  <c r="C66" i="46"/>
  <c r="C62" i="46"/>
  <c r="C61" i="46"/>
  <c r="C56" i="46"/>
  <c r="C53" i="46"/>
  <c r="C52" i="46"/>
  <c r="C51" i="46"/>
  <c r="C50" i="46"/>
  <c r="C48" i="46"/>
  <c r="C47" i="46"/>
  <c r="C46" i="46"/>
  <c r="R42" i="46"/>
  <c r="Q42" i="46"/>
  <c r="P42" i="46"/>
  <c r="O42" i="46"/>
  <c r="N42" i="46"/>
  <c r="M42" i="46"/>
  <c r="L42" i="46"/>
  <c r="K42" i="46"/>
  <c r="J42" i="46"/>
  <c r="I42" i="46"/>
  <c r="H42" i="46"/>
  <c r="G42" i="46"/>
  <c r="F42" i="46"/>
  <c r="E42" i="46"/>
  <c r="D42" i="46"/>
  <c r="B42" i="46"/>
  <c r="C41" i="46"/>
  <c r="C40" i="46"/>
  <c r="C39" i="46"/>
  <c r="C37" i="46"/>
  <c r="C36" i="46"/>
  <c r="C35" i="46"/>
  <c r="C34" i="46"/>
  <c r="C33" i="46"/>
  <c r="C31" i="46"/>
  <c r="C30" i="46"/>
  <c r="C29" i="46"/>
  <c r="C28" i="46"/>
  <c r="C27" i="46"/>
  <c r="C26" i="46"/>
  <c r="C25" i="46"/>
  <c r="C24" i="46"/>
  <c r="C23" i="46"/>
  <c r="C22" i="46"/>
  <c r="C20" i="46"/>
  <c r="C19" i="46"/>
  <c r="C18" i="46"/>
  <c r="C17" i="46"/>
  <c r="C16" i="46"/>
  <c r="C15" i="46"/>
  <c r="C14" i="46"/>
  <c r="C13" i="46"/>
  <c r="C12" i="46"/>
  <c r="C11" i="46"/>
  <c r="C10" i="46"/>
  <c r="C9" i="46"/>
  <c r="C8" i="46"/>
  <c r="C7" i="46"/>
  <c r="C42" i="46" s="1"/>
  <c r="C81" i="45"/>
  <c r="C77" i="45"/>
  <c r="C76" i="45"/>
  <c r="C75" i="45"/>
  <c r="C73" i="45"/>
  <c r="C72" i="45"/>
  <c r="C70" i="45"/>
  <c r="C67" i="45"/>
  <c r="C66" i="45"/>
  <c r="C62" i="45"/>
  <c r="C61" i="45"/>
  <c r="C56" i="45"/>
  <c r="C53" i="45"/>
  <c r="C52" i="45"/>
  <c r="C51" i="45"/>
  <c r="C50" i="45"/>
  <c r="C48" i="45"/>
  <c r="C47" i="45"/>
  <c r="C46" i="45"/>
  <c r="R42" i="45"/>
  <c r="Q42" i="45"/>
  <c r="P42" i="45"/>
  <c r="O42" i="45"/>
  <c r="N42" i="45"/>
  <c r="M42" i="45"/>
  <c r="L42" i="45"/>
  <c r="K42" i="45"/>
  <c r="J42" i="45"/>
  <c r="I42" i="45"/>
  <c r="H42" i="45"/>
  <c r="G42" i="45"/>
  <c r="F42" i="45"/>
  <c r="E42" i="45"/>
  <c r="D42" i="45"/>
  <c r="B42" i="45"/>
  <c r="C41" i="45"/>
  <c r="C40" i="45"/>
  <c r="C39" i="45"/>
  <c r="C37" i="45"/>
  <c r="C36" i="45"/>
  <c r="C35" i="45"/>
  <c r="C34" i="45"/>
  <c r="C33" i="45"/>
  <c r="C31" i="45"/>
  <c r="C30" i="45"/>
  <c r="C29" i="45"/>
  <c r="C28" i="45"/>
  <c r="C27" i="45"/>
  <c r="C26" i="45"/>
  <c r="C25" i="45"/>
  <c r="C24" i="45"/>
  <c r="C23" i="45"/>
  <c r="C22" i="45"/>
  <c r="C20" i="45"/>
  <c r="C19" i="45"/>
  <c r="C18" i="45"/>
  <c r="C17" i="45"/>
  <c r="C16" i="45"/>
  <c r="C15" i="45"/>
  <c r="C14" i="45"/>
  <c r="C13" i="45"/>
  <c r="C12" i="45"/>
  <c r="C11" i="45"/>
  <c r="C10" i="45"/>
  <c r="C9" i="45"/>
  <c r="C8" i="45"/>
  <c r="C7" i="45"/>
  <c r="C42" i="45" s="1"/>
  <c r="C81" i="44"/>
  <c r="C77" i="44"/>
  <c r="C76" i="44"/>
  <c r="C75" i="44"/>
  <c r="C73" i="44"/>
  <c r="C72" i="44"/>
  <c r="C70" i="44"/>
  <c r="C67" i="44"/>
  <c r="C66" i="44"/>
  <c r="C62" i="44"/>
  <c r="C61" i="44"/>
  <c r="C56" i="44"/>
  <c r="C53" i="44"/>
  <c r="C52" i="44"/>
  <c r="C51" i="44"/>
  <c r="C50" i="44"/>
  <c r="C48" i="44"/>
  <c r="C47" i="44"/>
  <c r="C46" i="44"/>
  <c r="R42" i="44"/>
  <c r="Q42" i="44"/>
  <c r="P42" i="44"/>
  <c r="O42" i="44"/>
  <c r="N42" i="44"/>
  <c r="M42" i="44"/>
  <c r="L42" i="44"/>
  <c r="K42" i="44"/>
  <c r="J42" i="44"/>
  <c r="I42" i="44"/>
  <c r="H42" i="44"/>
  <c r="G42" i="44"/>
  <c r="F42" i="44"/>
  <c r="E42" i="44"/>
  <c r="D42" i="44"/>
  <c r="B42" i="44"/>
  <c r="C41" i="44"/>
  <c r="C40" i="44"/>
  <c r="C39" i="44"/>
  <c r="C37" i="44"/>
  <c r="C36" i="44"/>
  <c r="C35" i="44"/>
  <c r="C34" i="44"/>
  <c r="C33" i="44"/>
  <c r="C31" i="44"/>
  <c r="C30" i="44"/>
  <c r="C29" i="44"/>
  <c r="C28" i="44"/>
  <c r="C27" i="44"/>
  <c r="C26" i="44"/>
  <c r="C25" i="44"/>
  <c r="C24" i="44"/>
  <c r="C23" i="44"/>
  <c r="C22" i="44"/>
  <c r="C20" i="44"/>
  <c r="C19" i="44"/>
  <c r="C18" i="44"/>
  <c r="C17" i="44"/>
  <c r="C16" i="44"/>
  <c r="C15" i="44"/>
  <c r="C14" i="44"/>
  <c r="C13" i="44"/>
  <c r="C12" i="44"/>
  <c r="C11" i="44"/>
  <c r="C10" i="44"/>
  <c r="C9" i="44"/>
  <c r="C8" i="44"/>
  <c r="C7" i="44"/>
  <c r="C42" i="44" s="1"/>
  <c r="C81" i="43"/>
  <c r="C77" i="43"/>
  <c r="C76" i="43"/>
  <c r="C75" i="43"/>
  <c r="C73" i="43"/>
  <c r="C72" i="43"/>
  <c r="C70" i="43"/>
  <c r="C67" i="43"/>
  <c r="C66" i="43"/>
  <c r="C62" i="43"/>
  <c r="C61" i="43"/>
  <c r="C56" i="43"/>
  <c r="C53" i="43"/>
  <c r="C52" i="43"/>
  <c r="C51" i="43"/>
  <c r="C50" i="43"/>
  <c r="C48" i="43"/>
  <c r="C47" i="43"/>
  <c r="C46" i="43"/>
  <c r="T42" i="43"/>
  <c r="S42" i="43"/>
  <c r="R42" i="43"/>
  <c r="Q42" i="43"/>
  <c r="P42" i="43"/>
  <c r="O42" i="43"/>
  <c r="N42" i="43"/>
  <c r="M42" i="43"/>
  <c r="L42" i="43"/>
  <c r="K42" i="43"/>
  <c r="J42" i="43"/>
  <c r="I42" i="43"/>
  <c r="H42" i="43"/>
  <c r="G42" i="43"/>
  <c r="F42" i="43"/>
  <c r="E42" i="43"/>
  <c r="D42" i="43"/>
  <c r="B42" i="43"/>
  <c r="C41" i="43"/>
  <c r="C40" i="43"/>
  <c r="C39" i="43"/>
  <c r="C37" i="43"/>
  <c r="C36" i="43"/>
  <c r="C35" i="43"/>
  <c r="C34" i="43"/>
  <c r="C33" i="43"/>
  <c r="C31" i="43"/>
  <c r="C30" i="43"/>
  <c r="C29" i="43"/>
  <c r="C28" i="43"/>
  <c r="C27" i="43"/>
  <c r="C26" i="43"/>
  <c r="C25" i="43"/>
  <c r="C24" i="43"/>
  <c r="C23" i="43"/>
  <c r="C22" i="43"/>
  <c r="C20" i="43"/>
  <c r="C19" i="43"/>
  <c r="C18" i="43"/>
  <c r="C17" i="43"/>
  <c r="C16" i="43"/>
  <c r="C15" i="43"/>
  <c r="C14" i="43"/>
  <c r="C13" i="43"/>
  <c r="C12" i="43"/>
  <c r="C11" i="43"/>
  <c r="C10" i="43"/>
  <c r="C9" i="43"/>
  <c r="C8" i="43"/>
  <c r="C42" i="43" s="1"/>
  <c r="C7" i="43"/>
  <c r="C81" i="42"/>
  <c r="C77" i="42"/>
  <c r="C76" i="42"/>
  <c r="C75" i="42"/>
  <c r="C73" i="42"/>
  <c r="C72" i="42"/>
  <c r="C70" i="42"/>
  <c r="C67" i="42"/>
  <c r="C66" i="42"/>
  <c r="C62" i="42"/>
  <c r="C61" i="42"/>
  <c r="C56" i="42"/>
  <c r="C53" i="42"/>
  <c r="C52" i="42"/>
  <c r="C51" i="42"/>
  <c r="C50" i="42"/>
  <c r="C48" i="42"/>
  <c r="C47" i="42"/>
  <c r="C46" i="42"/>
  <c r="R42" i="42"/>
  <c r="Q42" i="42"/>
  <c r="P42" i="42"/>
  <c r="O42" i="42"/>
  <c r="N42" i="42"/>
  <c r="M42" i="42"/>
  <c r="L42" i="42"/>
  <c r="K42" i="42"/>
  <c r="J42" i="42"/>
  <c r="I42" i="42"/>
  <c r="H42" i="42"/>
  <c r="G42" i="42"/>
  <c r="F42" i="42"/>
  <c r="E42" i="42"/>
  <c r="D42" i="42"/>
  <c r="B42" i="42"/>
  <c r="C41" i="42"/>
  <c r="C40" i="42"/>
  <c r="C39" i="42"/>
  <c r="C37" i="42"/>
  <c r="C36" i="42"/>
  <c r="C35" i="42"/>
  <c r="C34" i="42"/>
  <c r="C33" i="42"/>
  <c r="C31" i="42"/>
  <c r="C30" i="42"/>
  <c r="C29" i="42"/>
  <c r="C28" i="42"/>
  <c r="C27" i="42"/>
  <c r="C26" i="42"/>
  <c r="C25" i="42"/>
  <c r="C24" i="42"/>
  <c r="C23" i="42"/>
  <c r="C22" i="42"/>
  <c r="C20" i="42"/>
  <c r="C19" i="42"/>
  <c r="C18" i="42"/>
  <c r="C17" i="42"/>
  <c r="C16" i="42"/>
  <c r="C15" i="42"/>
  <c r="C14" i="42"/>
  <c r="C13" i="42"/>
  <c r="C12" i="42"/>
  <c r="C11" i="42"/>
  <c r="C10" i="42"/>
  <c r="C9" i="42"/>
  <c r="C8" i="42"/>
  <c r="C42" i="42" s="1"/>
  <c r="C7" i="42"/>
  <c r="C81" i="41"/>
  <c r="C77" i="41"/>
  <c r="C76" i="41"/>
  <c r="C75" i="41"/>
  <c r="C73" i="41"/>
  <c r="C72" i="41"/>
  <c r="C70" i="41"/>
  <c r="C67" i="41"/>
  <c r="C66" i="41"/>
  <c r="C62" i="41"/>
  <c r="C61" i="41"/>
  <c r="C56" i="41"/>
  <c r="C53" i="41"/>
  <c r="C52" i="41"/>
  <c r="C51" i="41"/>
  <c r="C50" i="41"/>
  <c r="C48" i="41"/>
  <c r="C47" i="41"/>
  <c r="C46" i="41"/>
  <c r="T42" i="41"/>
  <c r="S42" i="41"/>
  <c r="R42" i="41"/>
  <c r="Q42" i="41"/>
  <c r="P42" i="41"/>
  <c r="O42" i="41"/>
  <c r="N42" i="41"/>
  <c r="M42" i="41"/>
  <c r="L42" i="41"/>
  <c r="K42" i="41"/>
  <c r="J42" i="41"/>
  <c r="I42" i="41"/>
  <c r="H42" i="41"/>
  <c r="G42" i="41"/>
  <c r="F42" i="41"/>
  <c r="E42" i="41"/>
  <c r="D42" i="41"/>
  <c r="B42" i="41"/>
  <c r="C41" i="41"/>
  <c r="C40" i="41"/>
  <c r="C39" i="41"/>
  <c r="C37" i="41"/>
  <c r="C36" i="41"/>
  <c r="C35" i="41"/>
  <c r="C34" i="41"/>
  <c r="C33" i="41"/>
  <c r="C31" i="41"/>
  <c r="C30" i="41"/>
  <c r="C29" i="41"/>
  <c r="C28" i="41"/>
  <c r="C27" i="41"/>
  <c r="C26" i="41"/>
  <c r="C25" i="41"/>
  <c r="C24" i="41"/>
  <c r="C23" i="41"/>
  <c r="C22" i="41"/>
  <c r="C20" i="41"/>
  <c r="C19" i="41"/>
  <c r="C18" i="41"/>
  <c r="C17" i="41"/>
  <c r="C16" i="41"/>
  <c r="C15" i="41"/>
  <c r="C14" i="41"/>
  <c r="C13" i="41"/>
  <c r="C12" i="41"/>
  <c r="C11" i="41"/>
  <c r="C10" i="41"/>
  <c r="C9" i="41"/>
  <c r="C8" i="41"/>
  <c r="C7" i="41"/>
  <c r="C42" i="41" s="1"/>
  <c r="C81" i="40"/>
  <c r="C77" i="40"/>
  <c r="C76" i="40"/>
  <c r="C75" i="40"/>
  <c r="C73" i="40"/>
  <c r="C72" i="40"/>
  <c r="C70" i="40"/>
  <c r="C67" i="40"/>
  <c r="C66" i="40"/>
  <c r="C62" i="40"/>
  <c r="C61" i="40"/>
  <c r="C56" i="40"/>
  <c r="C53" i="40"/>
  <c r="C52" i="40"/>
  <c r="C51" i="40"/>
  <c r="C50" i="40"/>
  <c r="C48" i="40"/>
  <c r="C47" i="40"/>
  <c r="C46" i="40"/>
  <c r="R42" i="40"/>
  <c r="Q42" i="40"/>
  <c r="P42" i="40"/>
  <c r="O42" i="40"/>
  <c r="N42" i="40"/>
  <c r="M42" i="40"/>
  <c r="L42" i="40"/>
  <c r="K42" i="40"/>
  <c r="J42" i="40"/>
  <c r="I42" i="40"/>
  <c r="H42" i="40"/>
  <c r="G42" i="40"/>
  <c r="F42" i="40"/>
  <c r="E42" i="40"/>
  <c r="D42" i="40"/>
  <c r="B42" i="40"/>
  <c r="C41" i="40"/>
  <c r="C40" i="40"/>
  <c r="C39" i="40"/>
  <c r="C37" i="40"/>
  <c r="C36" i="40"/>
  <c r="C35" i="40"/>
  <c r="C34" i="40"/>
  <c r="C33" i="40"/>
  <c r="C31" i="40"/>
  <c r="C30" i="40"/>
  <c r="C29" i="40"/>
  <c r="C28" i="40"/>
  <c r="C27" i="40"/>
  <c r="C26" i="40"/>
  <c r="C25" i="40"/>
  <c r="C24" i="40"/>
  <c r="C23" i="40"/>
  <c r="C22" i="40"/>
  <c r="C20" i="40"/>
  <c r="C19" i="40"/>
  <c r="C18" i="40"/>
  <c r="C17" i="40"/>
  <c r="C16" i="40"/>
  <c r="C15" i="40"/>
  <c r="C14" i="40"/>
  <c r="C13" i="40"/>
  <c r="C12" i="40"/>
  <c r="C11" i="40"/>
  <c r="C10" i="40"/>
  <c r="C9" i="40"/>
  <c r="C8" i="40"/>
  <c r="C7" i="40"/>
  <c r="C42" i="40" s="1"/>
  <c r="C81" i="39"/>
  <c r="C77" i="39"/>
  <c r="C76" i="39"/>
  <c r="C75" i="39"/>
  <c r="C73" i="39"/>
  <c r="C72" i="39"/>
  <c r="C70" i="39"/>
  <c r="C67" i="39"/>
  <c r="C66" i="39"/>
  <c r="C62" i="39"/>
  <c r="C61" i="39"/>
  <c r="C56" i="39"/>
  <c r="C53" i="39"/>
  <c r="C52" i="39"/>
  <c r="C51" i="39"/>
  <c r="C50" i="39"/>
  <c r="C48" i="39"/>
  <c r="C47" i="39"/>
  <c r="C46" i="39"/>
  <c r="R42" i="39"/>
  <c r="Q42" i="39"/>
  <c r="P42" i="39"/>
  <c r="O42" i="39"/>
  <c r="N42" i="39"/>
  <c r="M42" i="39"/>
  <c r="L42" i="39"/>
  <c r="K42" i="39"/>
  <c r="J42" i="39"/>
  <c r="I42" i="39"/>
  <c r="H42" i="39"/>
  <c r="G42" i="39"/>
  <c r="F42" i="39"/>
  <c r="E42" i="39"/>
  <c r="D42" i="39"/>
  <c r="B42" i="39"/>
  <c r="C41" i="39"/>
  <c r="C40" i="39"/>
  <c r="C39" i="39"/>
  <c r="C37" i="39"/>
  <c r="C36" i="39"/>
  <c r="C35" i="39"/>
  <c r="C34" i="39"/>
  <c r="C33" i="39"/>
  <c r="C31" i="39"/>
  <c r="C30" i="39"/>
  <c r="C29" i="39"/>
  <c r="C28" i="39"/>
  <c r="C27" i="39"/>
  <c r="C26" i="39"/>
  <c r="C25" i="39"/>
  <c r="C24" i="39"/>
  <c r="C23" i="39"/>
  <c r="C22" i="39"/>
  <c r="C20" i="39"/>
  <c r="C19" i="39"/>
  <c r="C18" i="39"/>
  <c r="C17" i="39"/>
  <c r="C16" i="39"/>
  <c r="C15" i="39"/>
  <c r="C14" i="39"/>
  <c r="C13" i="39"/>
  <c r="C12" i="39"/>
  <c r="C11" i="39"/>
  <c r="C10" i="39"/>
  <c r="C9" i="39"/>
  <c r="C8" i="39"/>
  <c r="C7" i="39"/>
  <c r="C42" i="39" s="1"/>
  <c r="C81" i="38"/>
  <c r="C77" i="38"/>
  <c r="C76" i="38"/>
  <c r="C75" i="38"/>
  <c r="C73" i="38"/>
  <c r="C72" i="38"/>
  <c r="C70" i="38"/>
  <c r="C67" i="38"/>
  <c r="C66" i="38"/>
  <c r="C62" i="38"/>
  <c r="C61" i="38"/>
  <c r="C56" i="38"/>
  <c r="C53" i="38"/>
  <c r="C52" i="38"/>
  <c r="C51" i="38"/>
  <c r="C50" i="38"/>
  <c r="C48" i="38"/>
  <c r="C47" i="38"/>
  <c r="C46" i="38"/>
  <c r="R42" i="38"/>
  <c r="Q42" i="38"/>
  <c r="P42" i="38"/>
  <c r="O42" i="38"/>
  <c r="N42" i="38"/>
  <c r="M42" i="38"/>
  <c r="L42" i="38"/>
  <c r="K42" i="38"/>
  <c r="J42" i="38"/>
  <c r="I42" i="38"/>
  <c r="H42" i="38"/>
  <c r="G42" i="38"/>
  <c r="F42" i="38"/>
  <c r="E42" i="38"/>
  <c r="D42" i="38"/>
  <c r="B42" i="38"/>
  <c r="C41" i="38"/>
  <c r="C40" i="38"/>
  <c r="C39" i="38"/>
  <c r="C37" i="38"/>
  <c r="C36" i="38"/>
  <c r="C35" i="38"/>
  <c r="C34" i="38"/>
  <c r="C33" i="38"/>
  <c r="C31" i="38"/>
  <c r="C30" i="38"/>
  <c r="C29" i="38"/>
  <c r="C28" i="38"/>
  <c r="C27" i="38"/>
  <c r="C26" i="38"/>
  <c r="C25" i="38"/>
  <c r="C24" i="38"/>
  <c r="C23" i="38"/>
  <c r="C22" i="38"/>
  <c r="C20" i="38"/>
  <c r="C19" i="38"/>
  <c r="C18" i="38"/>
  <c r="C17" i="38"/>
  <c r="C16" i="38"/>
  <c r="C15" i="38"/>
  <c r="C14" i="38"/>
  <c r="C13" i="38"/>
  <c r="C12" i="38"/>
  <c r="C11" i="38"/>
  <c r="C10" i="38"/>
  <c r="C9" i="38"/>
  <c r="C8" i="38"/>
  <c r="C7" i="38"/>
  <c r="C42" i="38" s="1"/>
  <c r="C81" i="37"/>
  <c r="C77" i="37"/>
  <c r="C76" i="37"/>
  <c r="C75" i="37"/>
  <c r="C73" i="37"/>
  <c r="C72" i="37"/>
  <c r="C70" i="37"/>
  <c r="C67" i="37"/>
  <c r="C66" i="37"/>
  <c r="C62" i="37"/>
  <c r="C61" i="37"/>
  <c r="C56" i="37"/>
  <c r="C53" i="37"/>
  <c r="C52" i="37"/>
  <c r="C51" i="37"/>
  <c r="C50" i="37"/>
  <c r="C48" i="37"/>
  <c r="C47" i="37"/>
  <c r="C46" i="37"/>
  <c r="R42" i="37"/>
  <c r="Q42" i="37"/>
  <c r="P42" i="37"/>
  <c r="O42" i="37"/>
  <c r="N42" i="37"/>
  <c r="M42" i="37"/>
  <c r="L42" i="37"/>
  <c r="K42" i="37"/>
  <c r="J42" i="37"/>
  <c r="I42" i="37"/>
  <c r="H42" i="37"/>
  <c r="G42" i="37"/>
  <c r="F42" i="37"/>
  <c r="E42" i="37"/>
  <c r="D42" i="37"/>
  <c r="B42" i="37"/>
  <c r="C41" i="37"/>
  <c r="C40" i="37"/>
  <c r="C39" i="37"/>
  <c r="C37" i="37"/>
  <c r="C36" i="37"/>
  <c r="C35" i="37"/>
  <c r="C34" i="37"/>
  <c r="C33" i="37"/>
  <c r="C31" i="37"/>
  <c r="C30" i="37"/>
  <c r="C29" i="37"/>
  <c r="C28" i="37"/>
  <c r="C27" i="37"/>
  <c r="C26" i="37"/>
  <c r="C25" i="37"/>
  <c r="C24" i="37"/>
  <c r="C23" i="37"/>
  <c r="C22" i="37"/>
  <c r="C20" i="37"/>
  <c r="C19" i="37"/>
  <c r="C18" i="37"/>
  <c r="C17" i="37"/>
  <c r="C16" i="37"/>
  <c r="C15" i="37"/>
  <c r="C14" i="37"/>
  <c r="C13" i="37"/>
  <c r="C12" i="37"/>
  <c r="C11" i="37"/>
  <c r="C10" i="37"/>
  <c r="C9" i="37"/>
  <c r="C8" i="37"/>
  <c r="C7" i="37"/>
  <c r="C42" i="37" s="1"/>
  <c r="C81" i="36"/>
  <c r="C77" i="36"/>
  <c r="C76" i="36"/>
  <c r="C75" i="36"/>
  <c r="C73" i="36"/>
  <c r="C72" i="36"/>
  <c r="C70" i="36"/>
  <c r="C67" i="36"/>
  <c r="C66" i="36"/>
  <c r="C62" i="36"/>
  <c r="C61" i="36"/>
  <c r="C56" i="36"/>
  <c r="C53" i="36"/>
  <c r="C52" i="36"/>
  <c r="C51" i="36"/>
  <c r="C50" i="36"/>
  <c r="C48" i="36"/>
  <c r="C47" i="36"/>
  <c r="C46" i="36"/>
  <c r="R42" i="36"/>
  <c r="Q42" i="36"/>
  <c r="P42" i="36"/>
  <c r="O42" i="36"/>
  <c r="N42" i="36"/>
  <c r="M42" i="36"/>
  <c r="L42" i="36"/>
  <c r="K42" i="36"/>
  <c r="J42" i="36"/>
  <c r="I42" i="36"/>
  <c r="H42" i="36"/>
  <c r="G42" i="36"/>
  <c r="F42" i="36"/>
  <c r="E42" i="36"/>
  <c r="D42" i="36"/>
  <c r="B42" i="36"/>
  <c r="C41" i="36"/>
  <c r="C40" i="36"/>
  <c r="C39" i="36"/>
  <c r="C37" i="36"/>
  <c r="C36" i="36"/>
  <c r="C35" i="36"/>
  <c r="C34" i="36"/>
  <c r="C33" i="36"/>
  <c r="C31" i="36"/>
  <c r="C30" i="36"/>
  <c r="C29" i="36"/>
  <c r="C28" i="36"/>
  <c r="C27" i="36"/>
  <c r="C26" i="36"/>
  <c r="C25" i="36"/>
  <c r="C24" i="36"/>
  <c r="C23" i="36"/>
  <c r="C22" i="36"/>
  <c r="C20" i="36"/>
  <c r="C19" i="36"/>
  <c r="C18" i="36"/>
  <c r="C17" i="36"/>
  <c r="C16" i="36"/>
  <c r="C15" i="36"/>
  <c r="C14" i="36"/>
  <c r="C13" i="36"/>
  <c r="C12" i="36"/>
  <c r="C11" i="36"/>
  <c r="C10" i="36"/>
  <c r="C9" i="36"/>
  <c r="C8" i="36"/>
  <c r="C7" i="36"/>
  <c r="C42" i="36" s="1"/>
  <c r="C81" i="35"/>
  <c r="C77" i="35"/>
  <c r="C76" i="35"/>
  <c r="C75" i="35"/>
  <c r="C73" i="35"/>
  <c r="C72" i="35"/>
  <c r="C70" i="35"/>
  <c r="C67" i="35"/>
  <c r="C66" i="35"/>
  <c r="C62" i="35"/>
  <c r="C61" i="35"/>
  <c r="C56" i="35"/>
  <c r="C53" i="35"/>
  <c r="C52" i="35"/>
  <c r="C51" i="35"/>
  <c r="C50" i="35"/>
  <c r="C48" i="35"/>
  <c r="C47" i="35"/>
  <c r="C46" i="35"/>
  <c r="R42" i="35"/>
  <c r="Q42" i="35"/>
  <c r="P42" i="35"/>
  <c r="O42" i="35"/>
  <c r="N42" i="35"/>
  <c r="M42" i="35"/>
  <c r="L42" i="35"/>
  <c r="K42" i="35"/>
  <c r="J42" i="35"/>
  <c r="I42" i="35"/>
  <c r="H42" i="35"/>
  <c r="G42" i="35"/>
  <c r="F42" i="35"/>
  <c r="E42" i="35"/>
  <c r="D42" i="35"/>
  <c r="B42" i="35"/>
  <c r="C41" i="35"/>
  <c r="C40" i="35"/>
  <c r="C39" i="35"/>
  <c r="C37" i="35"/>
  <c r="C36" i="35"/>
  <c r="C35" i="35"/>
  <c r="C34" i="35"/>
  <c r="C33" i="35"/>
  <c r="C31" i="35"/>
  <c r="C30" i="35"/>
  <c r="C29" i="35"/>
  <c r="C28" i="35"/>
  <c r="C27" i="35"/>
  <c r="C26" i="35"/>
  <c r="C25" i="35"/>
  <c r="C24" i="35"/>
  <c r="C23" i="35"/>
  <c r="C22" i="35"/>
  <c r="C20" i="35"/>
  <c r="C19" i="35"/>
  <c r="C18" i="35"/>
  <c r="C17" i="35"/>
  <c r="C16" i="35"/>
  <c r="C15" i="35"/>
  <c r="C14" i="35"/>
  <c r="C13" i="35"/>
  <c r="C12" i="35"/>
  <c r="C11" i="35"/>
  <c r="C10" i="35"/>
  <c r="C9" i="35"/>
  <c r="C8" i="35"/>
  <c r="C7" i="35"/>
  <c r="C42" i="35" s="1"/>
  <c r="C81" i="34"/>
  <c r="C77" i="34"/>
  <c r="C76" i="34"/>
  <c r="C75" i="34"/>
  <c r="C73" i="34"/>
  <c r="C72" i="34"/>
  <c r="C70" i="34"/>
  <c r="C67" i="34"/>
  <c r="C66" i="34"/>
  <c r="C62" i="34"/>
  <c r="C61" i="34"/>
  <c r="C56" i="34"/>
  <c r="C53" i="34"/>
  <c r="C52" i="34"/>
  <c r="C51" i="34"/>
  <c r="C50" i="34"/>
  <c r="C48" i="34"/>
  <c r="C47" i="34"/>
  <c r="C46" i="34"/>
  <c r="T42" i="34"/>
  <c r="S42" i="34"/>
  <c r="R42" i="34"/>
  <c r="Q42" i="34"/>
  <c r="P42" i="34"/>
  <c r="O42" i="34"/>
  <c r="N42" i="34"/>
  <c r="M42" i="34"/>
  <c r="L42" i="34"/>
  <c r="K42" i="34"/>
  <c r="J42" i="34"/>
  <c r="I42" i="34"/>
  <c r="H42" i="34"/>
  <c r="G42" i="34"/>
  <c r="F42" i="34"/>
  <c r="E42" i="34"/>
  <c r="D42" i="34"/>
  <c r="B42" i="34"/>
  <c r="C41" i="34"/>
  <c r="C40" i="34"/>
  <c r="C39" i="34"/>
  <c r="C37" i="34"/>
  <c r="C36" i="34"/>
  <c r="C35" i="34"/>
  <c r="C34" i="34"/>
  <c r="C33" i="34"/>
  <c r="C31" i="34"/>
  <c r="C30" i="34"/>
  <c r="C29" i="34"/>
  <c r="C28" i="34"/>
  <c r="C27" i="34"/>
  <c r="C26" i="34"/>
  <c r="C25" i="34"/>
  <c r="C24" i="34"/>
  <c r="C23" i="34"/>
  <c r="C22" i="34"/>
  <c r="C20" i="34"/>
  <c r="C19" i="34"/>
  <c r="C18" i="34"/>
  <c r="C17" i="34"/>
  <c r="C16" i="34"/>
  <c r="C15" i="34"/>
  <c r="C14" i="34"/>
  <c r="C13" i="34"/>
  <c r="C12" i="34"/>
  <c r="C11" i="34"/>
  <c r="C10" i="34"/>
  <c r="C9" i="34"/>
  <c r="C8" i="34"/>
  <c r="C42" i="34" s="1"/>
  <c r="C7" i="34"/>
  <c r="C81" i="33"/>
  <c r="C77" i="33"/>
  <c r="C76" i="33"/>
  <c r="C75" i="33"/>
  <c r="C73" i="33"/>
  <c r="C72" i="33"/>
  <c r="C70" i="33"/>
  <c r="C67" i="33"/>
  <c r="C66" i="33"/>
  <c r="C62" i="33"/>
  <c r="C61" i="33"/>
  <c r="C56" i="33"/>
  <c r="C53" i="33"/>
  <c r="C52" i="33"/>
  <c r="C51" i="33"/>
  <c r="C50" i="33"/>
  <c r="C48" i="33"/>
  <c r="C47" i="33"/>
  <c r="C46" i="33"/>
  <c r="R42" i="33"/>
  <c r="Q42" i="33"/>
  <c r="P42" i="33"/>
  <c r="O42" i="33"/>
  <c r="N42" i="33"/>
  <c r="M42" i="33"/>
  <c r="L42" i="33"/>
  <c r="K42" i="33"/>
  <c r="J42" i="33"/>
  <c r="I42" i="33"/>
  <c r="H42" i="33"/>
  <c r="G42" i="33"/>
  <c r="F42" i="33"/>
  <c r="E42" i="33"/>
  <c r="D42" i="33"/>
  <c r="B42" i="33"/>
  <c r="C41" i="33"/>
  <c r="C40" i="33"/>
  <c r="C39" i="33"/>
  <c r="C37" i="33"/>
  <c r="C36" i="33"/>
  <c r="C35" i="33"/>
  <c r="C34" i="33"/>
  <c r="C33" i="33"/>
  <c r="C31" i="33"/>
  <c r="C30" i="33"/>
  <c r="C29" i="33"/>
  <c r="C28" i="33"/>
  <c r="C27" i="33"/>
  <c r="C26" i="33"/>
  <c r="C25" i="33"/>
  <c r="C24" i="33"/>
  <c r="C23" i="33"/>
  <c r="C22" i="33"/>
  <c r="C20" i="33"/>
  <c r="C19" i="33"/>
  <c r="C18" i="33"/>
  <c r="C17" i="33"/>
  <c r="C16" i="33"/>
  <c r="C15" i="33"/>
  <c r="C14" i="33"/>
  <c r="C13" i="33"/>
  <c r="C12" i="33"/>
  <c r="C11" i="33"/>
  <c r="C10" i="33"/>
  <c r="C9" i="33"/>
  <c r="C8" i="33"/>
  <c r="C42" i="33" s="1"/>
  <c r="C7" i="33"/>
  <c r="C81" i="32"/>
  <c r="C77" i="32"/>
  <c r="C76" i="32"/>
  <c r="C75" i="32"/>
  <c r="C73" i="32"/>
  <c r="C72" i="32"/>
  <c r="C70" i="32"/>
  <c r="C67" i="32"/>
  <c r="C66" i="32"/>
  <c r="C62" i="32"/>
  <c r="C61" i="32"/>
  <c r="C56" i="32"/>
  <c r="C53" i="32"/>
  <c r="C52" i="32"/>
  <c r="C51" i="32"/>
  <c r="C50" i="32"/>
  <c r="C48" i="32"/>
  <c r="C47" i="32"/>
  <c r="C46" i="32"/>
  <c r="R42" i="32"/>
  <c r="Q42" i="32"/>
  <c r="P42" i="32"/>
  <c r="O42" i="32"/>
  <c r="N42" i="32"/>
  <c r="M42" i="32"/>
  <c r="L42" i="32"/>
  <c r="K42" i="32"/>
  <c r="J42" i="32"/>
  <c r="I42" i="32"/>
  <c r="H42" i="32"/>
  <c r="G42" i="32"/>
  <c r="F42" i="32"/>
  <c r="E42" i="32"/>
  <c r="D42" i="32"/>
  <c r="B42" i="32"/>
  <c r="C41" i="32"/>
  <c r="C40" i="32"/>
  <c r="C39" i="32"/>
  <c r="C37" i="32"/>
  <c r="C36" i="32"/>
  <c r="C35" i="32"/>
  <c r="C34" i="32"/>
  <c r="C33" i="32"/>
  <c r="C31" i="32"/>
  <c r="C30" i="32"/>
  <c r="C29" i="32"/>
  <c r="C28" i="32"/>
  <c r="C27" i="32"/>
  <c r="C26" i="32"/>
  <c r="C25" i="32"/>
  <c r="C24" i="32"/>
  <c r="C23" i="32"/>
  <c r="C22" i="32"/>
  <c r="C20" i="32"/>
  <c r="C19" i="32"/>
  <c r="C18" i="32"/>
  <c r="C17" i="32"/>
  <c r="C16" i="32"/>
  <c r="C15" i="32"/>
  <c r="C14" i="32"/>
  <c r="C13" i="32"/>
  <c r="C12" i="32"/>
  <c r="C11" i="32"/>
  <c r="C10" i="32"/>
  <c r="C9" i="32"/>
  <c r="C8" i="32"/>
  <c r="C42" i="32" s="1"/>
  <c r="C7" i="32"/>
  <c r="C81" i="31"/>
  <c r="C77" i="31"/>
  <c r="C76" i="31"/>
  <c r="C75" i="31"/>
  <c r="C73" i="31"/>
  <c r="C72" i="31"/>
  <c r="C70" i="31"/>
  <c r="C67" i="31"/>
  <c r="C66" i="31"/>
  <c r="C62" i="31"/>
  <c r="C61" i="31"/>
  <c r="C56" i="31"/>
  <c r="C53" i="31"/>
  <c r="C52" i="31"/>
  <c r="C51" i="31"/>
  <c r="C50" i="31"/>
  <c r="C48" i="31"/>
  <c r="C47" i="31"/>
  <c r="C46" i="31"/>
  <c r="R42" i="31"/>
  <c r="Q42" i="31"/>
  <c r="P42" i="31"/>
  <c r="O42" i="31"/>
  <c r="N42" i="31"/>
  <c r="M42" i="31"/>
  <c r="L42" i="31"/>
  <c r="K42" i="31"/>
  <c r="J42" i="31"/>
  <c r="I42" i="31"/>
  <c r="H42" i="31"/>
  <c r="G42" i="31"/>
  <c r="F42" i="31"/>
  <c r="E42" i="31"/>
  <c r="D42" i="31"/>
  <c r="B42" i="31"/>
  <c r="C41" i="31"/>
  <c r="C40" i="31"/>
  <c r="C39" i="31"/>
  <c r="C37" i="31"/>
  <c r="C36" i="31"/>
  <c r="C35" i="31"/>
  <c r="C34" i="31"/>
  <c r="C33" i="31"/>
  <c r="C31" i="31"/>
  <c r="C30" i="31"/>
  <c r="C29" i="31"/>
  <c r="C28" i="31"/>
  <c r="C27" i="31"/>
  <c r="C26" i="31"/>
  <c r="C25" i="31"/>
  <c r="C24" i="31"/>
  <c r="C23" i="31"/>
  <c r="C22" i="31"/>
  <c r="C20" i="31"/>
  <c r="C19" i="31"/>
  <c r="C18" i="31"/>
  <c r="C17" i="31"/>
  <c r="C16" i="31"/>
  <c r="C15" i="31"/>
  <c r="C14" i="31"/>
  <c r="C13" i="31"/>
  <c r="C12" i="31"/>
  <c r="C11" i="31"/>
  <c r="C10" i="31"/>
  <c r="C9" i="31"/>
  <c r="C8" i="31"/>
  <c r="C42" i="31" s="1"/>
  <c r="C7" i="31"/>
  <c r="C81" i="30"/>
  <c r="C77" i="30"/>
  <c r="C76" i="30"/>
  <c r="C75" i="30"/>
  <c r="C73" i="30"/>
  <c r="C72" i="30"/>
  <c r="C70" i="30"/>
  <c r="C67" i="30"/>
  <c r="C66" i="30"/>
  <c r="C62" i="30"/>
  <c r="C61" i="30"/>
  <c r="C56" i="30"/>
  <c r="C53" i="30"/>
  <c r="C52" i="30"/>
  <c r="C51" i="30"/>
  <c r="C50" i="30"/>
  <c r="C48" i="30"/>
  <c r="C47" i="30"/>
  <c r="C46" i="30"/>
  <c r="R42" i="30"/>
  <c r="Q42" i="30"/>
  <c r="P42" i="30"/>
  <c r="O42" i="30"/>
  <c r="N42" i="30"/>
  <c r="M42" i="30"/>
  <c r="L42" i="30"/>
  <c r="K42" i="30"/>
  <c r="J42" i="30"/>
  <c r="I42" i="30"/>
  <c r="H42" i="30"/>
  <c r="G42" i="30"/>
  <c r="F42" i="30"/>
  <c r="E42" i="30"/>
  <c r="D42" i="30"/>
  <c r="B42" i="30"/>
  <c r="C41" i="30"/>
  <c r="C40" i="30"/>
  <c r="C39" i="30"/>
  <c r="C37" i="30"/>
  <c r="C36" i="30"/>
  <c r="C35" i="30"/>
  <c r="C34" i="30"/>
  <c r="C33" i="30"/>
  <c r="C31" i="30"/>
  <c r="C30" i="30"/>
  <c r="C29" i="30"/>
  <c r="C28" i="30"/>
  <c r="C27" i="30"/>
  <c r="C26" i="30"/>
  <c r="C25" i="30"/>
  <c r="C24" i="30"/>
  <c r="C23" i="30"/>
  <c r="C22" i="30"/>
  <c r="C20" i="30"/>
  <c r="C19" i="30"/>
  <c r="C18" i="30"/>
  <c r="C17" i="30"/>
  <c r="C16" i="30"/>
  <c r="C15" i="30"/>
  <c r="C14" i="30"/>
  <c r="C13" i="30"/>
  <c r="C12" i="30"/>
  <c r="C11" i="30"/>
  <c r="C10" i="30"/>
  <c r="C9" i="30"/>
  <c r="C8" i="30"/>
  <c r="C42" i="30" s="1"/>
  <c r="C7" i="30"/>
  <c r="C81" i="29"/>
  <c r="C77" i="29"/>
  <c r="C76" i="29"/>
  <c r="C75" i="29"/>
  <c r="C73" i="29"/>
  <c r="C72" i="29"/>
  <c r="C70" i="29"/>
  <c r="C67" i="29"/>
  <c r="C66" i="29"/>
  <c r="C62" i="29"/>
  <c r="C61" i="29"/>
  <c r="C56" i="29"/>
  <c r="C53" i="29"/>
  <c r="C52" i="29"/>
  <c r="C51" i="29"/>
  <c r="C50" i="29"/>
  <c r="C48" i="29"/>
  <c r="C47" i="29"/>
  <c r="C46" i="29"/>
  <c r="R42" i="29"/>
  <c r="Q42" i="29"/>
  <c r="P42" i="29"/>
  <c r="O42" i="29"/>
  <c r="N42" i="29"/>
  <c r="M42" i="29"/>
  <c r="L42" i="29"/>
  <c r="K42" i="29"/>
  <c r="J42" i="29"/>
  <c r="I42" i="29"/>
  <c r="H42" i="29"/>
  <c r="G42" i="29"/>
  <c r="F42" i="29"/>
  <c r="E42" i="29"/>
  <c r="D42" i="29"/>
  <c r="B42" i="29"/>
  <c r="C41" i="29"/>
  <c r="C40" i="29"/>
  <c r="C39" i="29"/>
  <c r="C37" i="29"/>
  <c r="C36" i="29"/>
  <c r="C35" i="29"/>
  <c r="C34" i="29"/>
  <c r="C33" i="29"/>
  <c r="C31" i="29"/>
  <c r="C30" i="29"/>
  <c r="C29" i="29"/>
  <c r="C28" i="29"/>
  <c r="C27" i="29"/>
  <c r="C26" i="29"/>
  <c r="C25" i="29"/>
  <c r="C24" i="29"/>
  <c r="C23" i="29"/>
  <c r="C22" i="29"/>
  <c r="C20" i="29"/>
  <c r="C19" i="29"/>
  <c r="C18" i="29"/>
  <c r="C17" i="29"/>
  <c r="C16" i="29"/>
  <c r="C15" i="29"/>
  <c r="C14" i="29"/>
  <c r="C13" i="29"/>
  <c r="C12" i="29"/>
  <c r="C11" i="29"/>
  <c r="C10" i="29"/>
  <c r="C9" i="29"/>
  <c r="C8" i="29"/>
  <c r="C42" i="29" s="1"/>
  <c r="C7" i="29"/>
  <c r="C81" i="28"/>
  <c r="C77" i="28"/>
  <c r="C76" i="28"/>
  <c r="C75" i="28"/>
  <c r="C73" i="28"/>
  <c r="C72" i="28"/>
  <c r="C70" i="28"/>
  <c r="C67" i="28"/>
  <c r="C66" i="28"/>
  <c r="C62" i="28"/>
  <c r="C61" i="28"/>
  <c r="C56" i="28"/>
  <c r="C53" i="28"/>
  <c r="C52" i="28"/>
  <c r="C51" i="28"/>
  <c r="C50" i="28"/>
  <c r="C48" i="28"/>
  <c r="C47" i="28"/>
  <c r="C46" i="28"/>
  <c r="R42" i="28"/>
  <c r="Q42" i="28"/>
  <c r="P42" i="28"/>
  <c r="O42" i="28"/>
  <c r="N42" i="28"/>
  <c r="M42" i="28"/>
  <c r="L42" i="28"/>
  <c r="K42" i="28"/>
  <c r="J42" i="28"/>
  <c r="I42" i="28"/>
  <c r="H42" i="28"/>
  <c r="G42" i="28"/>
  <c r="F42" i="28"/>
  <c r="E42" i="28"/>
  <c r="D42" i="28"/>
  <c r="B42" i="28"/>
  <c r="C41" i="28"/>
  <c r="C40" i="28"/>
  <c r="C39" i="28"/>
  <c r="C37" i="28"/>
  <c r="C36" i="28"/>
  <c r="C35" i="28"/>
  <c r="C34" i="28"/>
  <c r="C33" i="28"/>
  <c r="C31" i="28"/>
  <c r="C30" i="28"/>
  <c r="C29" i="28"/>
  <c r="C28" i="28"/>
  <c r="C27" i="28"/>
  <c r="C26" i="28"/>
  <c r="C25" i="28"/>
  <c r="C24" i="28"/>
  <c r="C23" i="28"/>
  <c r="C22" i="28"/>
  <c r="C20" i="28"/>
  <c r="C19" i="28"/>
  <c r="C18" i="28"/>
  <c r="C17" i="28"/>
  <c r="C16" i="28"/>
  <c r="C15" i="28"/>
  <c r="C14" i="28"/>
  <c r="C13" i="28"/>
  <c r="C12" i="28"/>
  <c r="C11" i="28"/>
  <c r="C10" i="28"/>
  <c r="C9" i="28"/>
  <c r="C8" i="28"/>
  <c r="C42" i="28" s="1"/>
  <c r="C7" i="28"/>
  <c r="C81" i="27"/>
  <c r="C77" i="27"/>
  <c r="C76" i="27"/>
  <c r="C75" i="27"/>
  <c r="C73" i="27"/>
  <c r="C72" i="27"/>
  <c r="C70" i="27"/>
  <c r="C67" i="27"/>
  <c r="C66" i="27"/>
  <c r="C62" i="27"/>
  <c r="C61" i="27"/>
  <c r="C56" i="27"/>
  <c r="C53" i="27"/>
  <c r="C52" i="27"/>
  <c r="C51" i="27"/>
  <c r="C50" i="27"/>
  <c r="C48" i="27"/>
  <c r="C47" i="27"/>
  <c r="C46" i="27"/>
  <c r="R42" i="27"/>
  <c r="Q42" i="27"/>
  <c r="P42" i="27"/>
  <c r="O42" i="27"/>
  <c r="N42" i="27"/>
  <c r="M42" i="27"/>
  <c r="L42" i="27"/>
  <c r="K42" i="27"/>
  <c r="J42" i="27"/>
  <c r="I42" i="27"/>
  <c r="H42" i="27"/>
  <c r="G42" i="27"/>
  <c r="F42" i="27"/>
  <c r="E42" i="27"/>
  <c r="D42" i="27"/>
  <c r="B42" i="27"/>
  <c r="C41" i="27"/>
  <c r="C40" i="27"/>
  <c r="C39" i="27"/>
  <c r="C37" i="27"/>
  <c r="C36" i="27"/>
  <c r="C35" i="27"/>
  <c r="C34" i="27"/>
  <c r="C33" i="27"/>
  <c r="C31" i="27"/>
  <c r="C30" i="27"/>
  <c r="C29" i="27"/>
  <c r="C28" i="27"/>
  <c r="C27" i="27"/>
  <c r="C26" i="27"/>
  <c r="C25" i="27"/>
  <c r="C24" i="27"/>
  <c r="C23" i="27"/>
  <c r="C22" i="27"/>
  <c r="C20" i="27"/>
  <c r="C19" i="27"/>
  <c r="C18" i="27"/>
  <c r="C17" i="27"/>
  <c r="C16" i="27"/>
  <c r="C15" i="27"/>
  <c r="C14" i="27"/>
  <c r="C13" i="27"/>
  <c r="C12" i="27"/>
  <c r="C11" i="27"/>
  <c r="C10" i="27"/>
  <c r="C9" i="27"/>
  <c r="C8" i="27"/>
  <c r="C42" i="27" s="1"/>
  <c r="C7" i="27"/>
  <c r="C81" i="26"/>
  <c r="C77" i="26"/>
  <c r="C76" i="26"/>
  <c r="C75" i="26"/>
  <c r="C73" i="26"/>
  <c r="C72" i="26"/>
  <c r="C70" i="26"/>
  <c r="C67" i="26"/>
  <c r="C66" i="26"/>
  <c r="C62" i="26"/>
  <c r="C61" i="26"/>
  <c r="C56" i="26"/>
  <c r="C53" i="26"/>
  <c r="C52" i="26"/>
  <c r="C51" i="26"/>
  <c r="C50" i="26"/>
  <c r="C48" i="26"/>
  <c r="C47" i="26"/>
  <c r="C46" i="26"/>
  <c r="R42" i="26"/>
  <c r="Q42" i="26"/>
  <c r="P42" i="26"/>
  <c r="O42" i="26"/>
  <c r="N42" i="26"/>
  <c r="M42" i="26"/>
  <c r="L42" i="26"/>
  <c r="K42" i="26"/>
  <c r="J42" i="26"/>
  <c r="I42" i="26"/>
  <c r="H42" i="26"/>
  <c r="G42" i="26"/>
  <c r="F42" i="26"/>
  <c r="E42" i="26"/>
  <c r="D42" i="26"/>
  <c r="B42" i="26"/>
  <c r="C41" i="26"/>
  <c r="C40" i="26"/>
  <c r="C39" i="26"/>
  <c r="C37" i="26"/>
  <c r="C36" i="26"/>
  <c r="C35" i="26"/>
  <c r="C34" i="26"/>
  <c r="C33" i="26"/>
  <c r="C31" i="26"/>
  <c r="C30" i="26"/>
  <c r="C29" i="26"/>
  <c r="C28" i="26"/>
  <c r="C27" i="26"/>
  <c r="C26" i="26"/>
  <c r="C25" i="26"/>
  <c r="C24" i="26"/>
  <c r="C23" i="26"/>
  <c r="C22" i="26"/>
  <c r="C20" i="26"/>
  <c r="C19" i="26"/>
  <c r="C18" i="26"/>
  <c r="C17" i="26"/>
  <c r="C16" i="26"/>
  <c r="C15" i="26"/>
  <c r="C14" i="26"/>
  <c r="C13" i="26"/>
  <c r="C12" i="26"/>
  <c r="C11" i="26"/>
  <c r="C10" i="26"/>
  <c r="C9" i="26"/>
  <c r="C8" i="26"/>
  <c r="C42" i="26" s="1"/>
  <c r="C7" i="26"/>
  <c r="C81" i="25"/>
  <c r="C77" i="25"/>
  <c r="C76" i="25"/>
  <c r="C75" i="25"/>
  <c r="C73" i="25"/>
  <c r="C72" i="25"/>
  <c r="C70" i="25"/>
  <c r="C67" i="25"/>
  <c r="C66" i="25"/>
  <c r="C62" i="25"/>
  <c r="C61" i="25"/>
  <c r="C56" i="25"/>
  <c r="C53" i="25"/>
  <c r="C52" i="25"/>
  <c r="C51" i="25"/>
  <c r="C50" i="25"/>
  <c r="C48" i="25"/>
  <c r="C47" i="25"/>
  <c r="C46" i="25"/>
  <c r="V42" i="25"/>
  <c r="U42" i="25"/>
  <c r="T42" i="25"/>
  <c r="S42" i="25"/>
  <c r="R42" i="25"/>
  <c r="Q42" i="25"/>
  <c r="P42" i="25"/>
  <c r="O42" i="25"/>
  <c r="N42" i="25"/>
  <c r="M42" i="25"/>
  <c r="L42" i="25"/>
  <c r="K42" i="25"/>
  <c r="J42" i="25"/>
  <c r="I42" i="25"/>
  <c r="H42" i="25"/>
  <c r="G42" i="25"/>
  <c r="F42" i="25"/>
  <c r="E42" i="25"/>
  <c r="D42" i="25"/>
  <c r="B42" i="25"/>
  <c r="C41" i="25"/>
  <c r="C40" i="25"/>
  <c r="C39" i="25"/>
  <c r="C37" i="25"/>
  <c r="C36" i="25"/>
  <c r="C35" i="25"/>
  <c r="C34" i="25"/>
  <c r="C33" i="25"/>
  <c r="C31" i="25"/>
  <c r="C30" i="25"/>
  <c r="C29" i="25"/>
  <c r="C28" i="25"/>
  <c r="C27" i="25"/>
  <c r="C26" i="25"/>
  <c r="C25" i="25"/>
  <c r="C24" i="25"/>
  <c r="C23" i="25"/>
  <c r="C22" i="25"/>
  <c r="C20" i="25"/>
  <c r="C19" i="25"/>
  <c r="C18" i="25"/>
  <c r="C17" i="25"/>
  <c r="C16" i="25"/>
  <c r="C15" i="25"/>
  <c r="C14" i="25"/>
  <c r="C13" i="25"/>
  <c r="C12" i="25"/>
  <c r="C11" i="25"/>
  <c r="C10" i="25"/>
  <c r="C9" i="25"/>
  <c r="C8" i="25"/>
  <c r="C42" i="25" s="1"/>
  <c r="C7" i="25"/>
  <c r="C81" i="24"/>
  <c r="C77" i="24"/>
  <c r="C76" i="24"/>
  <c r="C75" i="24"/>
  <c r="C73" i="24"/>
  <c r="C72" i="24"/>
  <c r="C70" i="24"/>
  <c r="C67" i="24"/>
  <c r="C66" i="24"/>
  <c r="C62" i="24"/>
  <c r="C61" i="24"/>
  <c r="C56" i="24"/>
  <c r="C53" i="24"/>
  <c r="C52" i="24"/>
  <c r="C51" i="24"/>
  <c r="C50" i="24"/>
  <c r="C48" i="24"/>
  <c r="C47" i="24"/>
  <c r="C46" i="24"/>
  <c r="R42" i="24"/>
  <c r="Q42" i="24"/>
  <c r="P42" i="24"/>
  <c r="O42" i="24"/>
  <c r="N42" i="24"/>
  <c r="M42" i="24"/>
  <c r="L42" i="24"/>
  <c r="K42" i="24"/>
  <c r="J42" i="24"/>
  <c r="I42" i="24"/>
  <c r="H42" i="24"/>
  <c r="G42" i="24"/>
  <c r="F42" i="24"/>
  <c r="E42" i="24"/>
  <c r="D42" i="24"/>
  <c r="B42" i="24"/>
  <c r="C41" i="24"/>
  <c r="C40" i="24"/>
  <c r="C39" i="24"/>
  <c r="C37" i="24"/>
  <c r="C36" i="24"/>
  <c r="C35" i="24"/>
  <c r="C34" i="24"/>
  <c r="C33" i="24"/>
  <c r="C31" i="24"/>
  <c r="C30" i="24"/>
  <c r="C29" i="24"/>
  <c r="C28" i="24"/>
  <c r="C27" i="24"/>
  <c r="C26" i="24"/>
  <c r="C25" i="24"/>
  <c r="C24" i="24"/>
  <c r="C23" i="24"/>
  <c r="C22" i="24"/>
  <c r="C20" i="24"/>
  <c r="C19" i="24"/>
  <c r="C18" i="24"/>
  <c r="C17" i="24"/>
  <c r="C16" i="24"/>
  <c r="C15" i="24"/>
  <c r="C14" i="24"/>
  <c r="C13" i="24"/>
  <c r="C12" i="24"/>
  <c r="C11" i="24"/>
  <c r="C10" i="24"/>
  <c r="C9" i="24"/>
  <c r="C8" i="24"/>
  <c r="C42" i="24" s="1"/>
  <c r="C7" i="24"/>
  <c r="C81" i="23"/>
  <c r="C77" i="23"/>
  <c r="C76" i="23"/>
  <c r="C75" i="23"/>
  <c r="C73" i="23"/>
  <c r="C72" i="23"/>
  <c r="C70" i="23"/>
  <c r="C67" i="23"/>
  <c r="C66" i="23"/>
  <c r="C62" i="23"/>
  <c r="C61" i="23"/>
  <c r="C56" i="23"/>
  <c r="C53" i="23"/>
  <c r="C52" i="23"/>
  <c r="C51" i="23"/>
  <c r="C50" i="23"/>
  <c r="C48" i="23"/>
  <c r="C47" i="23"/>
  <c r="C46" i="23"/>
  <c r="R42" i="23"/>
  <c r="Q42" i="23"/>
  <c r="P42" i="23"/>
  <c r="O42" i="23"/>
  <c r="N42" i="23"/>
  <c r="M42" i="23"/>
  <c r="L42" i="23"/>
  <c r="K42" i="23"/>
  <c r="J42" i="23"/>
  <c r="I42" i="23"/>
  <c r="H42" i="23"/>
  <c r="G42" i="23"/>
  <c r="F42" i="23"/>
  <c r="E42" i="23"/>
  <c r="D42" i="23"/>
  <c r="B42" i="23"/>
  <c r="C41" i="23"/>
  <c r="C40" i="23"/>
  <c r="C39" i="23"/>
  <c r="C37" i="23"/>
  <c r="C36" i="23"/>
  <c r="C35" i="23"/>
  <c r="C34" i="23"/>
  <c r="C33" i="23"/>
  <c r="C31" i="23"/>
  <c r="C30" i="23"/>
  <c r="C29" i="23"/>
  <c r="C28" i="23"/>
  <c r="C27" i="23"/>
  <c r="C26" i="23"/>
  <c r="C25" i="23"/>
  <c r="C24" i="23"/>
  <c r="C23" i="23"/>
  <c r="C22" i="23"/>
  <c r="C20" i="23"/>
  <c r="C19" i="23"/>
  <c r="C18" i="23"/>
  <c r="C17" i="23"/>
  <c r="C16" i="23"/>
  <c r="C15" i="23"/>
  <c r="C14" i="23"/>
  <c r="C13" i="23"/>
  <c r="C12" i="23"/>
  <c r="C11" i="23"/>
  <c r="C10" i="23"/>
  <c r="C9" i="23"/>
  <c r="C8" i="23"/>
  <c r="C42" i="23" s="1"/>
  <c r="C7" i="23"/>
  <c r="C81" i="22"/>
  <c r="C77" i="22"/>
  <c r="C76" i="22"/>
  <c r="C75" i="22"/>
  <c r="C73" i="22"/>
  <c r="C72" i="22"/>
  <c r="C70" i="22"/>
  <c r="C67" i="22"/>
  <c r="C66" i="22"/>
  <c r="C62" i="22"/>
  <c r="C61" i="22"/>
  <c r="C56" i="22"/>
  <c r="C53" i="22"/>
  <c r="C52" i="22"/>
  <c r="C51" i="22"/>
  <c r="C50" i="22"/>
  <c r="C48" i="22"/>
  <c r="C47" i="22"/>
  <c r="C46" i="22"/>
  <c r="R42" i="22"/>
  <c r="Q42" i="22"/>
  <c r="P42" i="22"/>
  <c r="O42" i="22"/>
  <c r="N42" i="22"/>
  <c r="M42" i="22"/>
  <c r="L42" i="22"/>
  <c r="K42" i="22"/>
  <c r="J42" i="22"/>
  <c r="I42" i="22"/>
  <c r="H42" i="22"/>
  <c r="G42" i="22"/>
  <c r="F42" i="22"/>
  <c r="E42" i="22"/>
  <c r="D42" i="22"/>
  <c r="B42" i="22"/>
  <c r="C41" i="22"/>
  <c r="C40" i="22"/>
  <c r="C39" i="22"/>
  <c r="C37" i="22"/>
  <c r="C36" i="22"/>
  <c r="C35" i="22"/>
  <c r="C34" i="22"/>
  <c r="C33" i="22"/>
  <c r="C31" i="22"/>
  <c r="C30" i="22"/>
  <c r="C29" i="22"/>
  <c r="C28" i="22"/>
  <c r="C27" i="22"/>
  <c r="C26" i="22"/>
  <c r="C25" i="22"/>
  <c r="C24" i="22"/>
  <c r="C23" i="22"/>
  <c r="C22" i="22"/>
  <c r="C20" i="22"/>
  <c r="C19" i="22"/>
  <c r="C18" i="22"/>
  <c r="C17" i="22"/>
  <c r="C16" i="22"/>
  <c r="C15" i="22"/>
  <c r="C14" i="22"/>
  <c r="C13" i="22"/>
  <c r="C12" i="22"/>
  <c r="C11" i="22"/>
  <c r="C10" i="22"/>
  <c r="C9" i="22"/>
  <c r="C8" i="22"/>
  <c r="C42" i="22" s="1"/>
  <c r="C7" i="22"/>
  <c r="C81" i="21"/>
  <c r="C77" i="21"/>
  <c r="C76" i="21"/>
  <c r="C75" i="21"/>
  <c r="C73" i="21"/>
  <c r="C72" i="21"/>
  <c r="C70" i="21"/>
  <c r="C67" i="21"/>
  <c r="C66" i="21"/>
  <c r="C62" i="21"/>
  <c r="C61" i="21"/>
  <c r="C56" i="21"/>
  <c r="C53" i="21"/>
  <c r="C52" i="21"/>
  <c r="C51" i="21"/>
  <c r="C50" i="21"/>
  <c r="C48" i="21"/>
  <c r="C47" i="21"/>
  <c r="C46" i="21"/>
  <c r="R42" i="21"/>
  <c r="Q42" i="21"/>
  <c r="P42" i="21"/>
  <c r="O42" i="21"/>
  <c r="N42" i="21"/>
  <c r="M42" i="21"/>
  <c r="L42" i="21"/>
  <c r="K42" i="21"/>
  <c r="J42" i="21"/>
  <c r="I42" i="21"/>
  <c r="H42" i="21"/>
  <c r="G42" i="21"/>
  <c r="F42" i="21"/>
  <c r="E42" i="21"/>
  <c r="D42" i="21"/>
  <c r="B42" i="21"/>
  <c r="C41" i="21"/>
  <c r="C40" i="21"/>
  <c r="C39" i="21"/>
  <c r="C37" i="21"/>
  <c r="C36" i="21"/>
  <c r="C35" i="21"/>
  <c r="C34" i="21"/>
  <c r="C33" i="21"/>
  <c r="C31" i="21"/>
  <c r="C30" i="21"/>
  <c r="C29" i="21"/>
  <c r="C28" i="21"/>
  <c r="C27" i="21"/>
  <c r="C26" i="21"/>
  <c r="C25" i="21"/>
  <c r="C24" i="21"/>
  <c r="C23" i="21"/>
  <c r="C22" i="21"/>
  <c r="C20" i="21"/>
  <c r="C19" i="21"/>
  <c r="C18" i="21"/>
  <c r="C17" i="21"/>
  <c r="C16" i="21"/>
  <c r="C15" i="21"/>
  <c r="C14" i="21"/>
  <c r="C13" i="21"/>
  <c r="C12" i="21"/>
  <c r="C11" i="21"/>
  <c r="C10" i="21"/>
  <c r="C9" i="21"/>
  <c r="C8" i="21"/>
  <c r="C42" i="21" s="1"/>
  <c r="C7" i="21"/>
  <c r="C81" i="20"/>
  <c r="C77" i="20"/>
  <c r="C76" i="20"/>
  <c r="C75" i="20"/>
  <c r="C73" i="20"/>
  <c r="C72" i="20"/>
  <c r="C70" i="20"/>
  <c r="C67" i="20"/>
  <c r="C66" i="20"/>
  <c r="C62" i="20"/>
  <c r="C61" i="20"/>
  <c r="C56" i="20"/>
  <c r="C53" i="20"/>
  <c r="C52" i="20"/>
  <c r="C51" i="20"/>
  <c r="C50" i="20"/>
  <c r="C48" i="20"/>
  <c r="C47" i="20"/>
  <c r="C46" i="20"/>
  <c r="R42" i="20"/>
  <c r="Q42" i="20"/>
  <c r="P42" i="20"/>
  <c r="O42" i="20"/>
  <c r="N42" i="20"/>
  <c r="M42" i="20"/>
  <c r="L42" i="20"/>
  <c r="K42" i="20"/>
  <c r="J42" i="20"/>
  <c r="I42" i="20"/>
  <c r="H42" i="20"/>
  <c r="G42" i="20"/>
  <c r="F42" i="20"/>
  <c r="E42" i="20"/>
  <c r="D42" i="20"/>
  <c r="B42" i="20"/>
  <c r="C41" i="20"/>
  <c r="C40" i="20"/>
  <c r="C39" i="20"/>
  <c r="C37" i="20"/>
  <c r="C36" i="20"/>
  <c r="C35" i="20"/>
  <c r="C34" i="20"/>
  <c r="C33" i="20"/>
  <c r="C31" i="20"/>
  <c r="C30" i="20"/>
  <c r="C29" i="20"/>
  <c r="C28" i="20"/>
  <c r="C27" i="20"/>
  <c r="C26" i="20"/>
  <c r="C25" i="20"/>
  <c r="C24" i="20"/>
  <c r="C23" i="20"/>
  <c r="C22" i="20"/>
  <c r="C20" i="20"/>
  <c r="C19" i="20"/>
  <c r="C18" i="20"/>
  <c r="C17" i="20"/>
  <c r="C16" i="20"/>
  <c r="C15" i="20"/>
  <c r="C14" i="20"/>
  <c r="C13" i="20"/>
  <c r="C12" i="20"/>
  <c r="C11" i="20"/>
  <c r="C10" i="20"/>
  <c r="C9" i="20"/>
  <c r="C8" i="20"/>
  <c r="C42" i="20" s="1"/>
  <c r="C7" i="20"/>
  <c r="C81" i="19"/>
  <c r="C77" i="19"/>
  <c r="C76" i="19"/>
  <c r="C75" i="19"/>
  <c r="C73" i="19"/>
  <c r="C72" i="19"/>
  <c r="C70" i="19"/>
  <c r="C67" i="19"/>
  <c r="C66" i="19"/>
  <c r="C62" i="19"/>
  <c r="C61" i="19"/>
  <c r="C56" i="19"/>
  <c r="C53" i="19"/>
  <c r="C52" i="19"/>
  <c r="C51" i="19"/>
  <c r="C50" i="19"/>
  <c r="C48" i="19"/>
  <c r="C47" i="19"/>
  <c r="C46" i="19"/>
  <c r="R42" i="19"/>
  <c r="Q42" i="19"/>
  <c r="P42" i="19"/>
  <c r="O42" i="19"/>
  <c r="N42" i="19"/>
  <c r="M42" i="19"/>
  <c r="L42" i="19"/>
  <c r="K42" i="19"/>
  <c r="J42" i="19"/>
  <c r="I42" i="19"/>
  <c r="H42" i="19"/>
  <c r="G42" i="19"/>
  <c r="F42" i="19"/>
  <c r="E42" i="19"/>
  <c r="D42" i="19"/>
  <c r="B42" i="19"/>
  <c r="C41" i="19"/>
  <c r="C40" i="19"/>
  <c r="C39" i="19"/>
  <c r="C37" i="19"/>
  <c r="C36" i="19"/>
  <c r="C35" i="19"/>
  <c r="C34" i="19"/>
  <c r="C33" i="19"/>
  <c r="C31" i="19"/>
  <c r="C30" i="19"/>
  <c r="C29" i="19"/>
  <c r="C28" i="19"/>
  <c r="C27" i="19"/>
  <c r="C26" i="19"/>
  <c r="C25" i="19"/>
  <c r="C24" i="19"/>
  <c r="C23" i="19"/>
  <c r="C22" i="19"/>
  <c r="C20" i="19"/>
  <c r="C19" i="19"/>
  <c r="C18" i="19"/>
  <c r="C17" i="19"/>
  <c r="C16" i="19"/>
  <c r="C15" i="19"/>
  <c r="C14" i="19"/>
  <c r="C13" i="19"/>
  <c r="C12" i="19"/>
  <c r="C11" i="19"/>
  <c r="C10" i="19"/>
  <c r="C9" i="19"/>
  <c r="C8" i="19"/>
  <c r="C42" i="19" s="1"/>
  <c r="C7" i="19"/>
  <c r="C81" i="18"/>
  <c r="C77" i="18"/>
  <c r="C76" i="18"/>
  <c r="C75" i="18"/>
  <c r="C73" i="18"/>
  <c r="C72" i="18"/>
  <c r="C70" i="18"/>
  <c r="C67" i="18"/>
  <c r="C66" i="18"/>
  <c r="C62" i="18"/>
  <c r="C61" i="18"/>
  <c r="C56" i="18"/>
  <c r="C53" i="18"/>
  <c r="C52" i="18"/>
  <c r="C51" i="18"/>
  <c r="C50" i="18"/>
  <c r="C48" i="18"/>
  <c r="C47" i="18"/>
  <c r="C46" i="18"/>
  <c r="R42" i="18"/>
  <c r="Q42" i="18"/>
  <c r="P42" i="18"/>
  <c r="O42" i="18"/>
  <c r="N42" i="18"/>
  <c r="M42" i="18"/>
  <c r="L42" i="18"/>
  <c r="K42" i="18"/>
  <c r="J42" i="18"/>
  <c r="I42" i="18"/>
  <c r="H42" i="18"/>
  <c r="G42" i="18"/>
  <c r="F42" i="18"/>
  <c r="E42" i="18"/>
  <c r="D42" i="18"/>
  <c r="B42" i="18"/>
  <c r="C41" i="18"/>
  <c r="C40" i="18"/>
  <c r="C39" i="18"/>
  <c r="C37" i="18"/>
  <c r="C36" i="18"/>
  <c r="C35" i="18"/>
  <c r="C34" i="18"/>
  <c r="C33" i="18"/>
  <c r="C31" i="18"/>
  <c r="C30" i="18"/>
  <c r="C29" i="18"/>
  <c r="C28" i="18"/>
  <c r="C27" i="18"/>
  <c r="C26" i="18"/>
  <c r="C25" i="18"/>
  <c r="C24" i="18"/>
  <c r="C23" i="18"/>
  <c r="C22" i="18"/>
  <c r="C20" i="18"/>
  <c r="C19" i="18"/>
  <c r="C18" i="18"/>
  <c r="C17" i="18"/>
  <c r="C16" i="18"/>
  <c r="C15" i="18"/>
  <c r="C14" i="18"/>
  <c r="C13" i="18"/>
  <c r="C12" i="18"/>
  <c r="C11" i="18"/>
  <c r="C10" i="18"/>
  <c r="C9" i="18"/>
  <c r="C8" i="18"/>
  <c r="C42" i="18" s="1"/>
  <c r="C7" i="18"/>
  <c r="C81" i="17"/>
  <c r="C77" i="17"/>
  <c r="C76" i="17"/>
  <c r="C75" i="17"/>
  <c r="C73" i="17"/>
  <c r="C72" i="17"/>
  <c r="C70" i="17"/>
  <c r="C67" i="17"/>
  <c r="C66" i="17"/>
  <c r="C62" i="17"/>
  <c r="C61" i="17"/>
  <c r="C56" i="17"/>
  <c r="C53" i="17"/>
  <c r="C52" i="17"/>
  <c r="C51" i="17"/>
  <c r="C50" i="17"/>
  <c r="C48" i="17"/>
  <c r="C47" i="17"/>
  <c r="C46" i="17"/>
  <c r="R42" i="17"/>
  <c r="Q42" i="17"/>
  <c r="P42" i="17"/>
  <c r="O42" i="17"/>
  <c r="N42" i="17"/>
  <c r="M42" i="17"/>
  <c r="L42" i="17"/>
  <c r="K42" i="17"/>
  <c r="J42" i="17"/>
  <c r="I42" i="17"/>
  <c r="H42" i="17"/>
  <c r="G42" i="17"/>
  <c r="F42" i="17"/>
  <c r="E42" i="17"/>
  <c r="D42" i="17"/>
  <c r="B42" i="17"/>
  <c r="C41" i="17"/>
  <c r="C40" i="17"/>
  <c r="C39" i="17"/>
  <c r="C37" i="17"/>
  <c r="C36" i="17"/>
  <c r="C35" i="17"/>
  <c r="C34" i="17"/>
  <c r="C33" i="17"/>
  <c r="C31" i="17"/>
  <c r="C30" i="17"/>
  <c r="C29" i="17"/>
  <c r="C28" i="17"/>
  <c r="C27" i="17"/>
  <c r="C26" i="17"/>
  <c r="C25" i="17"/>
  <c r="C24" i="17"/>
  <c r="C23" i="17"/>
  <c r="C22" i="17"/>
  <c r="C20" i="17"/>
  <c r="C19" i="17"/>
  <c r="C18" i="17"/>
  <c r="C17" i="17"/>
  <c r="C16" i="17"/>
  <c r="C15" i="17"/>
  <c r="C14" i="17"/>
  <c r="C13" i="17"/>
  <c r="C12" i="17"/>
  <c r="C11" i="17"/>
  <c r="C10" i="17"/>
  <c r="C9" i="17"/>
  <c r="C8" i="17"/>
  <c r="C42" i="17" s="1"/>
  <c r="C7" i="17"/>
  <c r="C81" i="16"/>
  <c r="C77" i="16"/>
  <c r="C76" i="16"/>
  <c r="C75" i="16"/>
  <c r="C73" i="16"/>
  <c r="C72" i="16"/>
  <c r="C70" i="16"/>
  <c r="C67" i="16"/>
  <c r="C66" i="16"/>
  <c r="C62" i="16"/>
  <c r="C61" i="16"/>
  <c r="C56" i="16"/>
  <c r="C53" i="16"/>
  <c r="C52" i="16"/>
  <c r="C51" i="16"/>
  <c r="C50" i="16"/>
  <c r="C48" i="16"/>
  <c r="C47" i="16"/>
  <c r="C46" i="16"/>
  <c r="R42" i="16"/>
  <c r="Q42" i="16"/>
  <c r="P42" i="16"/>
  <c r="O42" i="16"/>
  <c r="N42" i="16"/>
  <c r="M42" i="16"/>
  <c r="L42" i="16"/>
  <c r="K42" i="16"/>
  <c r="J42" i="16"/>
  <c r="I42" i="16"/>
  <c r="H42" i="16"/>
  <c r="G42" i="16"/>
  <c r="F42" i="16"/>
  <c r="E42" i="16"/>
  <c r="D42" i="16"/>
  <c r="B42" i="16"/>
  <c r="C41" i="16"/>
  <c r="C40" i="16"/>
  <c r="C39" i="16"/>
  <c r="C37" i="16"/>
  <c r="C36" i="16"/>
  <c r="C35" i="16"/>
  <c r="C34" i="16"/>
  <c r="C33" i="16"/>
  <c r="C31" i="16"/>
  <c r="C30" i="16"/>
  <c r="C29" i="16"/>
  <c r="C28" i="16"/>
  <c r="C27" i="16"/>
  <c r="C26" i="16"/>
  <c r="C25" i="16"/>
  <c r="C24" i="16"/>
  <c r="C23" i="16"/>
  <c r="C22" i="16"/>
  <c r="C20" i="16"/>
  <c r="C19" i="16"/>
  <c r="C18" i="16"/>
  <c r="C17" i="16"/>
  <c r="C16" i="16"/>
  <c r="C15" i="16"/>
  <c r="C14" i="16"/>
  <c r="C13" i="16"/>
  <c r="C12" i="16"/>
  <c r="C11" i="16"/>
  <c r="C10" i="16"/>
  <c r="C9" i="16"/>
  <c r="C8" i="16"/>
  <c r="C42" i="16" s="1"/>
  <c r="C7" i="16"/>
  <c r="C81" i="15"/>
  <c r="C77" i="15"/>
  <c r="C76" i="15"/>
  <c r="C75" i="15"/>
  <c r="C73" i="15"/>
  <c r="C72" i="15"/>
  <c r="C70" i="15"/>
  <c r="C67" i="15"/>
  <c r="C66" i="15"/>
  <c r="C62" i="15"/>
  <c r="C61" i="15"/>
  <c r="C56" i="15"/>
  <c r="C53" i="15"/>
  <c r="C52" i="15"/>
  <c r="C51" i="15"/>
  <c r="C50" i="15"/>
  <c r="C48" i="15"/>
  <c r="C47" i="15"/>
  <c r="C46" i="15"/>
  <c r="V42" i="15"/>
  <c r="U42" i="15"/>
  <c r="T42" i="15"/>
  <c r="S42" i="15"/>
  <c r="R42" i="15"/>
  <c r="Q42" i="15"/>
  <c r="P42" i="15"/>
  <c r="O42" i="15"/>
  <c r="N42" i="15"/>
  <c r="M42" i="15"/>
  <c r="L42" i="15"/>
  <c r="K42" i="15"/>
  <c r="J42" i="15"/>
  <c r="I42" i="15"/>
  <c r="H42" i="15"/>
  <c r="G42" i="15"/>
  <c r="F42" i="15"/>
  <c r="E42" i="15"/>
  <c r="D42" i="15"/>
  <c r="B42" i="15"/>
  <c r="C41" i="15"/>
  <c r="C40" i="15"/>
  <c r="C39" i="15"/>
  <c r="C37" i="15"/>
  <c r="C36" i="15"/>
  <c r="C35" i="15"/>
  <c r="C34" i="15"/>
  <c r="C33" i="15"/>
  <c r="C31" i="15"/>
  <c r="C30" i="15"/>
  <c r="C29" i="15"/>
  <c r="C28" i="15"/>
  <c r="C27" i="15"/>
  <c r="C26" i="15"/>
  <c r="C25" i="15"/>
  <c r="C24" i="15"/>
  <c r="C23" i="15"/>
  <c r="C22" i="15"/>
  <c r="C20" i="15"/>
  <c r="C19" i="15"/>
  <c r="C18" i="15"/>
  <c r="C17" i="15"/>
  <c r="C16" i="15"/>
  <c r="C15" i="15"/>
  <c r="C14" i="15"/>
  <c r="C13" i="15"/>
  <c r="C12" i="15"/>
  <c r="C11" i="15"/>
  <c r="C10" i="15"/>
  <c r="C9" i="15"/>
  <c r="C8" i="15"/>
  <c r="C42" i="15" s="1"/>
  <c r="C7" i="15"/>
  <c r="C81" i="14"/>
  <c r="C77" i="14"/>
  <c r="C76" i="14"/>
  <c r="C75" i="14"/>
  <c r="C73" i="14"/>
  <c r="C72" i="14"/>
  <c r="C70" i="14"/>
  <c r="C67" i="14"/>
  <c r="C66" i="14"/>
  <c r="C62" i="14"/>
  <c r="C61" i="14"/>
  <c r="C56" i="14"/>
  <c r="C53" i="14"/>
  <c r="C52" i="14"/>
  <c r="C51" i="14"/>
  <c r="C50" i="14"/>
  <c r="C48" i="14"/>
  <c r="C47" i="14"/>
  <c r="C46" i="14"/>
  <c r="R42" i="14"/>
  <c r="Q42" i="14"/>
  <c r="P42" i="14"/>
  <c r="O42" i="14"/>
  <c r="N42" i="14"/>
  <c r="M42" i="14"/>
  <c r="L42" i="14"/>
  <c r="K42" i="14"/>
  <c r="J42" i="14"/>
  <c r="I42" i="14"/>
  <c r="H42" i="14"/>
  <c r="G42" i="14"/>
  <c r="F42" i="14"/>
  <c r="E42" i="14"/>
  <c r="D42" i="14"/>
  <c r="B42" i="14"/>
  <c r="C41" i="14"/>
  <c r="C40" i="14"/>
  <c r="C39" i="14"/>
  <c r="C37" i="14"/>
  <c r="C36" i="14"/>
  <c r="C35" i="14"/>
  <c r="C34" i="14"/>
  <c r="C33" i="14"/>
  <c r="C31" i="14"/>
  <c r="C30" i="14"/>
  <c r="C29" i="14"/>
  <c r="C28" i="14"/>
  <c r="C27" i="14"/>
  <c r="C26" i="14"/>
  <c r="C25" i="14"/>
  <c r="C24" i="14"/>
  <c r="C23" i="14"/>
  <c r="C22" i="14"/>
  <c r="C20" i="14"/>
  <c r="C19" i="14"/>
  <c r="C18" i="14"/>
  <c r="C17" i="14"/>
  <c r="C16" i="14"/>
  <c r="C15" i="14"/>
  <c r="C14" i="14"/>
  <c r="C13" i="14"/>
  <c r="C12" i="14"/>
  <c r="C11" i="14"/>
  <c r="C10" i="14"/>
  <c r="C9" i="14"/>
  <c r="C8" i="14"/>
  <c r="C42" i="14" s="1"/>
  <c r="C7" i="14"/>
  <c r="C81" i="13"/>
  <c r="C77" i="13"/>
  <c r="C76" i="13"/>
  <c r="C75" i="13"/>
  <c r="C73" i="13"/>
  <c r="C72" i="13"/>
  <c r="C70" i="13"/>
  <c r="C67" i="13"/>
  <c r="C66" i="13"/>
  <c r="C62" i="13"/>
  <c r="C61" i="13"/>
  <c r="C56" i="13"/>
  <c r="C53" i="13"/>
  <c r="C52" i="13"/>
  <c r="C51" i="13"/>
  <c r="C50" i="13"/>
  <c r="C48" i="13"/>
  <c r="C47" i="13"/>
  <c r="C46" i="13"/>
  <c r="R42" i="13"/>
  <c r="Q42" i="13"/>
  <c r="P42" i="13"/>
  <c r="O42" i="13"/>
  <c r="N42" i="13"/>
  <c r="M42" i="13"/>
  <c r="L42" i="13"/>
  <c r="K42" i="13"/>
  <c r="J42" i="13"/>
  <c r="I42" i="13"/>
  <c r="H42" i="13"/>
  <c r="G42" i="13"/>
  <c r="F42" i="13"/>
  <c r="E42" i="13"/>
  <c r="D42" i="13"/>
  <c r="B42" i="13"/>
  <c r="C41" i="13"/>
  <c r="C40" i="13"/>
  <c r="C39" i="13"/>
  <c r="C37" i="13"/>
  <c r="C36" i="13"/>
  <c r="C35" i="13"/>
  <c r="C34" i="13"/>
  <c r="C33" i="13"/>
  <c r="C31" i="13"/>
  <c r="C30" i="13"/>
  <c r="C29" i="13"/>
  <c r="C28" i="13"/>
  <c r="C27" i="13"/>
  <c r="C26" i="13"/>
  <c r="C25" i="13"/>
  <c r="C24" i="13"/>
  <c r="C23" i="13"/>
  <c r="C22" i="13"/>
  <c r="C20" i="13"/>
  <c r="C19" i="13"/>
  <c r="C18" i="13"/>
  <c r="C17" i="13"/>
  <c r="C16" i="13"/>
  <c r="C15" i="13"/>
  <c r="C14" i="13"/>
  <c r="C13" i="13"/>
  <c r="C12" i="13"/>
  <c r="C11" i="13"/>
  <c r="C10" i="13"/>
  <c r="C9" i="13"/>
  <c r="C8" i="13"/>
  <c r="C42" i="13" s="1"/>
  <c r="C7" i="13"/>
  <c r="C81" i="12"/>
  <c r="C77" i="12"/>
  <c r="C76" i="12"/>
  <c r="C75" i="12"/>
  <c r="C73" i="12"/>
  <c r="C72" i="12"/>
  <c r="C70" i="12"/>
  <c r="C67" i="12"/>
  <c r="C66" i="12"/>
  <c r="C62" i="12"/>
  <c r="C61" i="12"/>
  <c r="C56" i="12"/>
  <c r="C53" i="12"/>
  <c r="C52" i="12"/>
  <c r="C51" i="12"/>
  <c r="C50" i="12"/>
  <c r="C48" i="12"/>
  <c r="C47" i="12"/>
  <c r="C46" i="12"/>
  <c r="R42" i="12"/>
  <c r="Q42" i="12"/>
  <c r="P42" i="12"/>
  <c r="O42" i="12"/>
  <c r="N42" i="12"/>
  <c r="M42" i="12"/>
  <c r="L42" i="12"/>
  <c r="K42" i="12"/>
  <c r="J42" i="12"/>
  <c r="I42" i="12"/>
  <c r="H42" i="12"/>
  <c r="G42" i="12"/>
  <c r="F42" i="12"/>
  <c r="E42" i="12"/>
  <c r="D42" i="12"/>
  <c r="B42" i="12"/>
  <c r="C41" i="12"/>
  <c r="C40" i="12"/>
  <c r="C39" i="12"/>
  <c r="C37" i="12"/>
  <c r="C36" i="12"/>
  <c r="C35" i="12"/>
  <c r="C34" i="12"/>
  <c r="C33" i="12"/>
  <c r="C31" i="12"/>
  <c r="C30" i="12"/>
  <c r="C29" i="12"/>
  <c r="C28" i="12"/>
  <c r="C27" i="12"/>
  <c r="C26" i="12"/>
  <c r="C25" i="12"/>
  <c r="C24" i="12"/>
  <c r="C23" i="12"/>
  <c r="C22" i="12"/>
  <c r="C20" i="12"/>
  <c r="C19" i="12"/>
  <c r="C18" i="12"/>
  <c r="C17" i="12"/>
  <c r="C16" i="12"/>
  <c r="C15" i="12"/>
  <c r="C14" i="12"/>
  <c r="C13" i="12"/>
  <c r="C12" i="12"/>
  <c r="C11" i="12"/>
  <c r="C10" i="12"/>
  <c r="C9" i="12"/>
  <c r="C8" i="12"/>
  <c r="C42" i="12" s="1"/>
  <c r="C7" i="12"/>
  <c r="C81" i="11"/>
  <c r="C77" i="11"/>
  <c r="C76" i="11"/>
  <c r="C75" i="11"/>
  <c r="C73" i="11"/>
  <c r="C72" i="11"/>
  <c r="C70" i="11"/>
  <c r="C67" i="11"/>
  <c r="C66" i="11"/>
  <c r="C62" i="11"/>
  <c r="C61" i="11"/>
  <c r="C56" i="11"/>
  <c r="C53" i="11"/>
  <c r="C52" i="11"/>
  <c r="C51" i="11"/>
  <c r="C50" i="11"/>
  <c r="C48" i="11"/>
  <c r="C47" i="11"/>
  <c r="C46" i="11"/>
  <c r="R42" i="11"/>
  <c r="Q42" i="11"/>
  <c r="P42" i="11"/>
  <c r="O42" i="11"/>
  <c r="N42" i="11"/>
  <c r="M42" i="11"/>
  <c r="L42" i="11"/>
  <c r="K42" i="11"/>
  <c r="J42" i="11"/>
  <c r="I42" i="11"/>
  <c r="H42" i="11"/>
  <c r="G42" i="11"/>
  <c r="F42" i="11"/>
  <c r="E42" i="11"/>
  <c r="D42" i="11"/>
  <c r="B42" i="11"/>
  <c r="C41" i="11"/>
  <c r="C40" i="11"/>
  <c r="C39" i="11"/>
  <c r="C37" i="11"/>
  <c r="C36" i="11"/>
  <c r="C35" i="11"/>
  <c r="C34" i="11"/>
  <c r="C33" i="11"/>
  <c r="C31" i="11"/>
  <c r="C30" i="11"/>
  <c r="C29" i="11"/>
  <c r="C28" i="11"/>
  <c r="C27" i="11"/>
  <c r="C26" i="11"/>
  <c r="C25" i="11"/>
  <c r="C24" i="11"/>
  <c r="C23" i="11"/>
  <c r="C22" i="11"/>
  <c r="C20" i="11"/>
  <c r="C19" i="11"/>
  <c r="C18" i="11"/>
  <c r="C17" i="11"/>
  <c r="C16" i="11"/>
  <c r="C15" i="11"/>
  <c r="C14" i="11"/>
  <c r="C13" i="11"/>
  <c r="C12" i="11"/>
  <c r="C11" i="11"/>
  <c r="C10" i="11"/>
  <c r="C9" i="11"/>
  <c r="C8" i="11"/>
  <c r="C42" i="11" s="1"/>
  <c r="C7" i="11"/>
  <c r="C81" i="10"/>
  <c r="C77" i="10"/>
  <c r="C76" i="10"/>
  <c r="C75" i="10"/>
  <c r="C73" i="10"/>
  <c r="C72" i="10"/>
  <c r="C70" i="10"/>
  <c r="C67" i="10"/>
  <c r="C66" i="10"/>
  <c r="C62" i="10"/>
  <c r="C61" i="10"/>
  <c r="C56" i="10"/>
  <c r="C53" i="10"/>
  <c r="C52" i="10"/>
  <c r="C51" i="10"/>
  <c r="C50" i="10"/>
  <c r="C48" i="10"/>
  <c r="C47" i="10"/>
  <c r="C46" i="10"/>
  <c r="R42" i="10"/>
  <c r="Q42" i="10"/>
  <c r="P42" i="10"/>
  <c r="O42" i="10"/>
  <c r="N42" i="10"/>
  <c r="M42" i="10"/>
  <c r="L42" i="10"/>
  <c r="K42" i="10"/>
  <c r="J42" i="10"/>
  <c r="I42" i="10"/>
  <c r="H42" i="10"/>
  <c r="G42" i="10"/>
  <c r="F42" i="10"/>
  <c r="E42" i="10"/>
  <c r="D42" i="10"/>
  <c r="B42" i="10"/>
  <c r="C41" i="10"/>
  <c r="C40" i="10"/>
  <c r="C39" i="10"/>
  <c r="C37" i="10"/>
  <c r="C36" i="10"/>
  <c r="C35" i="10"/>
  <c r="C34" i="10"/>
  <c r="C33" i="10"/>
  <c r="C31" i="10"/>
  <c r="C30" i="10"/>
  <c r="C29" i="10"/>
  <c r="C28" i="10"/>
  <c r="C27" i="10"/>
  <c r="C26" i="10"/>
  <c r="C25" i="10"/>
  <c r="C24" i="10"/>
  <c r="C23" i="10"/>
  <c r="C22" i="10"/>
  <c r="C20" i="10"/>
  <c r="C19" i="10"/>
  <c r="C18" i="10"/>
  <c r="C17" i="10"/>
  <c r="C16" i="10"/>
  <c r="C15" i="10"/>
  <c r="C14" i="10"/>
  <c r="C13" i="10"/>
  <c r="C12" i="10"/>
  <c r="C11" i="10"/>
  <c r="C10" i="10"/>
  <c r="C9" i="10"/>
  <c r="C8" i="10"/>
  <c r="C42" i="10" s="1"/>
  <c r="C7" i="10"/>
  <c r="C81" i="9"/>
  <c r="C77" i="9"/>
  <c r="C76" i="9"/>
  <c r="C75" i="9"/>
  <c r="C73" i="9"/>
  <c r="C72" i="9"/>
  <c r="C70" i="9"/>
  <c r="C67" i="9"/>
  <c r="C66" i="9"/>
  <c r="C62" i="9"/>
  <c r="C61" i="9"/>
  <c r="C56" i="9"/>
  <c r="C53" i="9"/>
  <c r="C52" i="9"/>
  <c r="C51" i="9"/>
  <c r="C50" i="9"/>
  <c r="C48" i="9"/>
  <c r="C47" i="9"/>
  <c r="C46" i="9"/>
  <c r="R42" i="9"/>
  <c r="Q42" i="9"/>
  <c r="P42" i="9"/>
  <c r="O42" i="9"/>
  <c r="N42" i="9"/>
  <c r="M42" i="9"/>
  <c r="L42" i="9"/>
  <c r="K42" i="9"/>
  <c r="J42" i="9"/>
  <c r="I42" i="9"/>
  <c r="H42" i="9"/>
  <c r="G42" i="9"/>
  <c r="F42" i="9"/>
  <c r="E42" i="9"/>
  <c r="D42" i="9"/>
  <c r="B42" i="9"/>
  <c r="C41" i="9"/>
  <c r="C40" i="9"/>
  <c r="C39" i="9"/>
  <c r="C37" i="9"/>
  <c r="C36" i="9"/>
  <c r="C35" i="9"/>
  <c r="C34" i="9"/>
  <c r="C33" i="9"/>
  <c r="C31" i="9"/>
  <c r="C30" i="9"/>
  <c r="C29" i="9"/>
  <c r="C28" i="9"/>
  <c r="C27" i="9"/>
  <c r="C26" i="9"/>
  <c r="C25" i="9"/>
  <c r="C24" i="9"/>
  <c r="C23" i="9"/>
  <c r="C22" i="9"/>
  <c r="C20" i="9"/>
  <c r="C19" i="9"/>
  <c r="C18" i="9"/>
  <c r="C17" i="9"/>
  <c r="C16" i="9"/>
  <c r="C15" i="9"/>
  <c r="C14" i="9"/>
  <c r="C13" i="9"/>
  <c r="C12" i="9"/>
  <c r="C11" i="9"/>
  <c r="C10" i="9"/>
  <c r="C9" i="9"/>
  <c r="C8" i="9"/>
  <c r="C42" i="9" s="1"/>
  <c r="C7" i="9"/>
  <c r="C81" i="8"/>
  <c r="C77" i="8"/>
  <c r="C76" i="8"/>
  <c r="C75" i="8"/>
  <c r="C73" i="8"/>
  <c r="C72" i="8"/>
  <c r="C70" i="8"/>
  <c r="C67" i="8"/>
  <c r="C66" i="8"/>
  <c r="C62" i="8"/>
  <c r="C61" i="8"/>
  <c r="C56" i="8"/>
  <c r="C53" i="8"/>
  <c r="C52" i="8"/>
  <c r="C51" i="8"/>
  <c r="C50" i="8"/>
  <c r="C48" i="8"/>
  <c r="C47" i="8"/>
  <c r="C46" i="8"/>
  <c r="R42" i="8"/>
  <c r="Q42" i="8"/>
  <c r="P42" i="8"/>
  <c r="O42" i="8"/>
  <c r="N42" i="8"/>
  <c r="M42" i="8"/>
  <c r="L42" i="8"/>
  <c r="K42" i="8"/>
  <c r="J42" i="8"/>
  <c r="I42" i="8"/>
  <c r="H42" i="8"/>
  <c r="G42" i="8"/>
  <c r="F42" i="8"/>
  <c r="E42" i="8"/>
  <c r="D42" i="8"/>
  <c r="B42" i="8"/>
  <c r="C41" i="8"/>
  <c r="C40" i="8"/>
  <c r="C39" i="8"/>
  <c r="C37" i="8"/>
  <c r="C36" i="8"/>
  <c r="C35" i="8"/>
  <c r="C34" i="8"/>
  <c r="C33" i="8"/>
  <c r="C31" i="8"/>
  <c r="C30" i="8"/>
  <c r="C29" i="8"/>
  <c r="C28" i="8"/>
  <c r="C27" i="8"/>
  <c r="C26" i="8"/>
  <c r="C25" i="8"/>
  <c r="C24" i="8"/>
  <c r="C23" i="8"/>
  <c r="C22" i="8"/>
  <c r="C20" i="8"/>
  <c r="C19" i="8"/>
  <c r="C18" i="8"/>
  <c r="C17" i="8"/>
  <c r="C16" i="8"/>
  <c r="C15" i="8"/>
  <c r="C14" i="8"/>
  <c r="C13" i="8"/>
  <c r="C12" i="8"/>
  <c r="C11" i="8"/>
  <c r="C10" i="8"/>
  <c r="C9" i="8"/>
  <c r="C8" i="8"/>
  <c r="C42" i="8" s="1"/>
  <c r="C7" i="8"/>
  <c r="C81" i="7"/>
  <c r="C77" i="7"/>
  <c r="C76" i="7"/>
  <c r="C75" i="7"/>
  <c r="C73" i="7"/>
  <c r="C72" i="7"/>
  <c r="C70" i="7"/>
  <c r="C67" i="7"/>
  <c r="C66" i="7"/>
  <c r="C62" i="7"/>
  <c r="C61" i="7"/>
  <c r="C56" i="7"/>
  <c r="C53" i="7"/>
  <c r="C52" i="7"/>
  <c r="C51" i="7"/>
  <c r="C50" i="7"/>
  <c r="C48" i="7"/>
  <c r="C47" i="7"/>
  <c r="C46" i="7"/>
  <c r="R42" i="7"/>
  <c r="Q42" i="7"/>
  <c r="P42" i="7"/>
  <c r="O42" i="7"/>
  <c r="N42" i="7"/>
  <c r="M42" i="7"/>
  <c r="L42" i="7"/>
  <c r="K42" i="7"/>
  <c r="J42" i="7"/>
  <c r="I42" i="7"/>
  <c r="H42" i="7"/>
  <c r="G42" i="7"/>
  <c r="F42" i="7"/>
  <c r="E42" i="7"/>
  <c r="D42" i="7"/>
  <c r="B42" i="7"/>
  <c r="C41" i="7"/>
  <c r="C40" i="7"/>
  <c r="C39" i="7"/>
  <c r="C37" i="7"/>
  <c r="C36" i="7"/>
  <c r="C35" i="7"/>
  <c r="C34" i="7"/>
  <c r="C33" i="7"/>
  <c r="C31" i="7"/>
  <c r="C30" i="7"/>
  <c r="C29" i="7"/>
  <c r="C28" i="7"/>
  <c r="C27" i="7"/>
  <c r="C26" i="7"/>
  <c r="C25" i="7"/>
  <c r="C24" i="7"/>
  <c r="C23" i="7"/>
  <c r="C22" i="7"/>
  <c r="C20" i="7"/>
  <c r="C19" i="7"/>
  <c r="C18" i="7"/>
  <c r="C17" i="7"/>
  <c r="C16" i="7"/>
  <c r="C15" i="7"/>
  <c r="C14" i="7"/>
  <c r="C13" i="7"/>
  <c r="C12" i="7"/>
  <c r="C11" i="7"/>
  <c r="C10" i="7"/>
  <c r="C9" i="7"/>
  <c r="C8" i="7"/>
  <c r="C42" i="7" s="1"/>
  <c r="C7" i="7"/>
  <c r="C81" i="6"/>
  <c r="C77" i="6"/>
  <c r="C76" i="6"/>
  <c r="C75" i="6"/>
  <c r="C73" i="6"/>
  <c r="C72" i="6"/>
  <c r="C70" i="6"/>
  <c r="C67" i="6"/>
  <c r="C66" i="6"/>
  <c r="C62" i="6"/>
  <c r="C61" i="6"/>
  <c r="C56" i="6"/>
  <c r="C53" i="6"/>
  <c r="C52" i="6"/>
  <c r="C51" i="6"/>
  <c r="C50" i="6"/>
  <c r="C48" i="6"/>
  <c r="C47" i="6"/>
  <c r="C46" i="6"/>
  <c r="R42" i="6"/>
  <c r="Q42" i="6"/>
  <c r="P42" i="6"/>
  <c r="O42" i="6"/>
  <c r="N42" i="6"/>
  <c r="M42" i="6"/>
  <c r="L42" i="6"/>
  <c r="K42" i="6"/>
  <c r="J42" i="6"/>
  <c r="I42" i="6"/>
  <c r="H42" i="6"/>
  <c r="G42" i="6"/>
  <c r="F42" i="6"/>
  <c r="E42" i="6"/>
  <c r="D42" i="6"/>
  <c r="B42" i="6"/>
  <c r="C41" i="6"/>
  <c r="C40" i="6"/>
  <c r="C39" i="6"/>
  <c r="C37" i="6"/>
  <c r="C36" i="6"/>
  <c r="C35" i="6"/>
  <c r="C34" i="6"/>
  <c r="C33" i="6"/>
  <c r="C31" i="6"/>
  <c r="C30" i="6"/>
  <c r="C29" i="6"/>
  <c r="C28" i="6"/>
  <c r="C27" i="6"/>
  <c r="C26" i="6"/>
  <c r="C25" i="6"/>
  <c r="C24" i="6"/>
  <c r="C23" i="6"/>
  <c r="C22" i="6"/>
  <c r="C20" i="6"/>
  <c r="C19" i="6"/>
  <c r="C18" i="6"/>
  <c r="C17" i="6"/>
  <c r="C16" i="6"/>
  <c r="C15" i="6"/>
  <c r="C14" i="6"/>
  <c r="C13" i="6"/>
  <c r="C12" i="6"/>
  <c r="C11" i="6"/>
  <c r="C10" i="6"/>
  <c r="C9" i="6"/>
  <c r="C8" i="6"/>
  <c r="C42" i="6" s="1"/>
  <c r="C7" i="6"/>
  <c r="C81" i="5"/>
  <c r="C77" i="5"/>
  <c r="C76" i="5"/>
  <c r="C75" i="5"/>
  <c r="C73" i="5"/>
  <c r="C72" i="5"/>
  <c r="C70" i="5"/>
  <c r="C67" i="5"/>
  <c r="C66" i="5"/>
  <c r="C62" i="5"/>
  <c r="C61" i="5"/>
  <c r="C56" i="5"/>
  <c r="C53" i="5"/>
  <c r="C52" i="5"/>
  <c r="C51" i="5"/>
  <c r="C50" i="5"/>
  <c r="C48" i="5"/>
  <c r="C47" i="5"/>
  <c r="C46" i="5"/>
  <c r="R42" i="5"/>
  <c r="Q42" i="5"/>
  <c r="P42" i="5"/>
  <c r="O42" i="5"/>
  <c r="N42" i="5"/>
  <c r="M42" i="5"/>
  <c r="L42" i="5"/>
  <c r="K42" i="5"/>
  <c r="J42" i="5"/>
  <c r="I42" i="5"/>
  <c r="H42" i="5"/>
  <c r="G42" i="5"/>
  <c r="F42" i="5"/>
  <c r="E42" i="5"/>
  <c r="D42" i="5"/>
  <c r="B42" i="5"/>
  <c r="C41" i="5"/>
  <c r="C40" i="5"/>
  <c r="C39" i="5"/>
  <c r="C37" i="5"/>
  <c r="C36" i="5"/>
  <c r="C35" i="5"/>
  <c r="C34" i="5"/>
  <c r="C33" i="5"/>
  <c r="C31" i="5"/>
  <c r="C30" i="5"/>
  <c r="C29" i="5"/>
  <c r="C28" i="5"/>
  <c r="C27" i="5"/>
  <c r="C26" i="5"/>
  <c r="C25" i="5"/>
  <c r="C24" i="5"/>
  <c r="C23" i="5"/>
  <c r="C22" i="5"/>
  <c r="C20" i="5"/>
  <c r="C19" i="5"/>
  <c r="C18" i="5"/>
  <c r="C17" i="5"/>
  <c r="C16" i="5"/>
  <c r="C15" i="5"/>
  <c r="C14" i="5"/>
  <c r="C13" i="5"/>
  <c r="C12" i="5"/>
  <c r="C11" i="5"/>
  <c r="C10" i="5"/>
  <c r="C9" i="5"/>
  <c r="C8" i="5"/>
  <c r="C42" i="5" s="1"/>
  <c r="C7" i="5"/>
  <c r="C81" i="4"/>
  <c r="C77" i="4"/>
  <c r="C76" i="4"/>
  <c r="C75" i="4"/>
  <c r="C73" i="4"/>
  <c r="C72" i="4"/>
  <c r="C70" i="4"/>
  <c r="C67" i="4"/>
  <c r="C66" i="4"/>
  <c r="C62" i="4"/>
  <c r="C61" i="4"/>
  <c r="C56" i="4"/>
  <c r="C53" i="4"/>
  <c r="C52" i="4"/>
  <c r="C51" i="4"/>
  <c r="C50" i="4"/>
  <c r="C48" i="4"/>
  <c r="C47" i="4"/>
  <c r="C46" i="4"/>
  <c r="R42" i="4"/>
  <c r="Q42" i="4"/>
  <c r="P42" i="4"/>
  <c r="O42" i="4"/>
  <c r="N42" i="4"/>
  <c r="M42" i="4"/>
  <c r="L42" i="4"/>
  <c r="K42" i="4"/>
  <c r="J42" i="4"/>
  <c r="I42" i="4"/>
  <c r="H42" i="4"/>
  <c r="G42" i="4"/>
  <c r="F42" i="4"/>
  <c r="E42" i="4"/>
  <c r="D42" i="4"/>
  <c r="B42" i="4"/>
  <c r="C41" i="4"/>
  <c r="C40" i="4"/>
  <c r="C39" i="4"/>
  <c r="C37" i="4"/>
  <c r="C36" i="4"/>
  <c r="C35" i="4"/>
  <c r="C34" i="4"/>
  <c r="C33" i="4"/>
  <c r="C31" i="4"/>
  <c r="C30" i="4"/>
  <c r="C29" i="4"/>
  <c r="C28" i="4"/>
  <c r="C27" i="4"/>
  <c r="C26" i="4"/>
  <c r="C25" i="4"/>
  <c r="C24" i="4"/>
  <c r="C23" i="4"/>
  <c r="C22" i="4"/>
  <c r="C20" i="4"/>
  <c r="C19" i="4"/>
  <c r="C18" i="4"/>
  <c r="C17" i="4"/>
  <c r="C16" i="4"/>
  <c r="C15" i="4"/>
  <c r="C14" i="4"/>
  <c r="C13" i="4"/>
  <c r="C12" i="4"/>
  <c r="C11" i="4"/>
  <c r="C10" i="4"/>
  <c r="C9" i="4"/>
  <c r="C8" i="4"/>
  <c r="C42" i="4" s="1"/>
  <c r="C7" i="4"/>
  <c r="C81" i="3"/>
  <c r="C77" i="3"/>
  <c r="C76" i="3"/>
  <c r="C75" i="3"/>
  <c r="C73" i="3"/>
  <c r="C72" i="3"/>
  <c r="C70" i="3"/>
  <c r="C67" i="3"/>
  <c r="C66" i="3"/>
  <c r="C62" i="3"/>
  <c r="C61" i="3"/>
  <c r="C56" i="3"/>
  <c r="C53" i="3"/>
  <c r="C52" i="3"/>
  <c r="C51" i="3"/>
  <c r="C50" i="3"/>
  <c r="C48" i="3"/>
  <c r="C47" i="3"/>
  <c r="C46" i="3"/>
  <c r="R42" i="3"/>
  <c r="Q42" i="3"/>
  <c r="P42" i="3"/>
  <c r="O42" i="3"/>
  <c r="N42" i="3"/>
  <c r="M42" i="3"/>
  <c r="L42" i="3"/>
  <c r="K42" i="3"/>
  <c r="J42" i="3"/>
  <c r="I42" i="3"/>
  <c r="H42" i="3"/>
  <c r="G42" i="3"/>
  <c r="F42" i="3"/>
  <c r="E42" i="3"/>
  <c r="D42" i="3"/>
  <c r="B42" i="3"/>
  <c r="C41" i="3"/>
  <c r="C40" i="3"/>
  <c r="C39" i="3"/>
  <c r="C37" i="3"/>
  <c r="C36" i="3"/>
  <c r="C35" i="3"/>
  <c r="C34" i="3"/>
  <c r="C33" i="3"/>
  <c r="C31" i="3"/>
  <c r="C30" i="3"/>
  <c r="C29" i="3"/>
  <c r="C28" i="3"/>
  <c r="C27" i="3"/>
  <c r="C26" i="3"/>
  <c r="C25" i="3"/>
  <c r="C24" i="3"/>
  <c r="C23" i="3"/>
  <c r="C22" i="3"/>
  <c r="C20" i="3"/>
  <c r="C19" i="3"/>
  <c r="C18" i="3"/>
  <c r="C17" i="3"/>
  <c r="C16" i="3"/>
  <c r="C15" i="3"/>
  <c r="C14" i="3"/>
  <c r="C13" i="3"/>
  <c r="C12" i="3"/>
  <c r="C11" i="3"/>
  <c r="C10" i="3"/>
  <c r="C9" i="3"/>
  <c r="C8" i="3"/>
  <c r="C42" i="3" s="1"/>
  <c r="C7" i="3"/>
  <c r="C81" i="2"/>
  <c r="C77" i="2"/>
  <c r="C76" i="2"/>
  <c r="C75" i="2"/>
  <c r="C73" i="2"/>
  <c r="C72" i="2"/>
  <c r="C70" i="2"/>
  <c r="C67" i="2"/>
  <c r="C66" i="2"/>
  <c r="C62" i="2"/>
  <c r="C61" i="2"/>
  <c r="C56" i="2"/>
  <c r="C53" i="2"/>
  <c r="C52" i="2"/>
  <c r="C51" i="2"/>
  <c r="C50" i="2"/>
  <c r="C48" i="2"/>
  <c r="C47" i="2"/>
  <c r="C46" i="2"/>
  <c r="R42" i="2"/>
  <c r="Q42" i="2"/>
  <c r="P42" i="2"/>
  <c r="O42" i="2"/>
  <c r="N42" i="2"/>
  <c r="M42" i="2"/>
  <c r="L42" i="2"/>
  <c r="K42" i="2"/>
  <c r="J42" i="2"/>
  <c r="I42" i="2"/>
  <c r="H42" i="2"/>
  <c r="G42" i="2"/>
  <c r="F42" i="2"/>
  <c r="E42" i="2"/>
  <c r="D42" i="2"/>
  <c r="B42" i="2"/>
  <c r="C41" i="2"/>
  <c r="C40" i="2"/>
  <c r="C39" i="2"/>
  <c r="C37" i="2"/>
  <c r="C36" i="2"/>
  <c r="C35" i="2"/>
  <c r="C34" i="2"/>
  <c r="C33" i="2"/>
  <c r="C31" i="2"/>
  <c r="C30" i="2"/>
  <c r="C29" i="2"/>
  <c r="C28" i="2"/>
  <c r="C27" i="2"/>
  <c r="C26" i="2"/>
  <c r="C25" i="2"/>
  <c r="C24" i="2"/>
  <c r="C23" i="2"/>
  <c r="C22" i="2"/>
  <c r="C20" i="2"/>
  <c r="C19" i="2"/>
  <c r="C18" i="2"/>
  <c r="C17" i="2"/>
  <c r="C16" i="2"/>
  <c r="C15" i="2"/>
  <c r="C14" i="2"/>
  <c r="C13" i="2"/>
  <c r="C12" i="2"/>
  <c r="C11" i="2"/>
  <c r="C10" i="2"/>
  <c r="C9" i="2"/>
  <c r="C8" i="2"/>
  <c r="C42" i="2" s="1"/>
  <c r="C7" i="2"/>
</calcChain>
</file>

<file path=xl/sharedStrings.xml><?xml version="1.0" encoding="utf-8"?>
<sst xmlns="http://schemas.openxmlformats.org/spreadsheetml/2006/main" count="75667" uniqueCount="478">
  <si>
    <t>Table of Contents</t>
  </si>
  <si>
    <t>CC104101</t>
  </si>
  <si>
    <t>CC104102</t>
  </si>
  <si>
    <t>CC104103</t>
  </si>
  <si>
    <t>CC104104</t>
  </si>
  <si>
    <t>CC104105</t>
  </si>
  <si>
    <t>CC104106</t>
  </si>
  <si>
    <t>CC104107</t>
  </si>
  <si>
    <t>CC104201</t>
  </si>
  <si>
    <t>CC104202</t>
  </si>
  <si>
    <t>CC104203</t>
  </si>
  <si>
    <t>CC104204</t>
  </si>
  <si>
    <t>CC104205</t>
  </si>
  <si>
    <t>CC104206</t>
  </si>
  <si>
    <t>CC104301C</t>
  </si>
  <si>
    <t>CC104303</t>
  </si>
  <si>
    <t>CC104305</t>
  </si>
  <si>
    <t>CC104306</t>
  </si>
  <si>
    <t>CC106101</t>
  </si>
  <si>
    <t>CC106102</t>
  </si>
  <si>
    <t>CC106103</t>
  </si>
  <si>
    <t>CC106104</t>
  </si>
  <si>
    <t>CC106105</t>
  </si>
  <si>
    <t>CC106106</t>
  </si>
  <si>
    <t>CC106107C</t>
  </si>
  <si>
    <t>CC106201</t>
  </si>
  <si>
    <t>CC106202</t>
  </si>
  <si>
    <t>CC106203</t>
  </si>
  <si>
    <t>CC106204</t>
  </si>
  <si>
    <t>CC106205</t>
  </si>
  <si>
    <t>CC106206</t>
  </si>
  <si>
    <t>CC106207</t>
  </si>
  <si>
    <t>CC106208</t>
  </si>
  <si>
    <t>CC106209</t>
  </si>
  <si>
    <t>CC106301</t>
  </si>
  <si>
    <t>CC106302</t>
  </si>
  <si>
    <t>CC106303</t>
  </si>
  <si>
    <t>CC106304</t>
  </si>
  <si>
    <t>CC106305</t>
  </si>
  <si>
    <t>CC106306</t>
  </si>
  <si>
    <t>CC106307</t>
  </si>
  <si>
    <t>CC102101</t>
  </si>
  <si>
    <t>CC102102C</t>
  </si>
  <si>
    <t>CC102201</t>
  </si>
  <si>
    <t>CC102202</t>
  </si>
  <si>
    <t>CC102203</t>
  </si>
  <si>
    <t>CC102204</t>
  </si>
  <si>
    <t>CC102205</t>
  </si>
  <si>
    <t>CC102206</t>
  </si>
  <si>
    <t>CC102207</t>
  </si>
  <si>
    <t>CC102208</t>
  </si>
  <si>
    <t>CC102209C</t>
  </si>
  <si>
    <t>CC102212</t>
  </si>
  <si>
    <t>CC102213</t>
  </si>
  <si>
    <t>CC103101</t>
  </si>
  <si>
    <t>CC103102</t>
  </si>
  <si>
    <t>CC103103</t>
  </si>
  <si>
    <t>CC103104</t>
  </si>
  <si>
    <t>CC103105</t>
  </si>
  <si>
    <t>CC103106</t>
  </si>
  <si>
    <t>CC103107</t>
  </si>
  <si>
    <t>CC103108C</t>
  </si>
  <si>
    <t>CC103201</t>
  </si>
  <si>
    <t>CC103202</t>
  </si>
  <si>
    <t>CC103203</t>
  </si>
  <si>
    <t>CC103204</t>
  </si>
  <si>
    <t>CC103205</t>
  </si>
  <si>
    <t>CC103206</t>
  </si>
  <si>
    <t>CC103207</t>
  </si>
  <si>
    <t>CC103209</t>
  </si>
  <si>
    <t>CC103210</t>
  </si>
  <si>
    <t>CC103211</t>
  </si>
  <si>
    <t>CC103301</t>
  </si>
  <si>
    <t>CC103302</t>
  </si>
  <si>
    <t>CC103303</t>
  </si>
  <si>
    <t>CC103304</t>
  </si>
  <si>
    <t>CC103305</t>
  </si>
  <si>
    <t>CC103306</t>
  </si>
  <si>
    <t>CC103307</t>
  </si>
  <si>
    <t>CC103308</t>
  </si>
  <si>
    <t>CC103309</t>
  </si>
  <si>
    <t>CC100101</t>
  </si>
  <si>
    <t>CC100102</t>
  </si>
  <si>
    <t>CC100103</t>
  </si>
  <si>
    <t>CC100104</t>
  </si>
  <si>
    <t>CC100105</t>
  </si>
  <si>
    <t>CC100201</t>
  </si>
  <si>
    <t>CC100202</t>
  </si>
  <si>
    <t>CC100203</t>
  </si>
  <si>
    <t>CC100301</t>
  </si>
  <si>
    <t>CC100302</t>
  </si>
  <si>
    <t>CC100401</t>
  </si>
  <si>
    <t>CC100402</t>
  </si>
  <si>
    <t>CC105101</t>
  </si>
  <si>
    <t>CC105102</t>
  </si>
  <si>
    <t>CC105103C</t>
  </si>
  <si>
    <t>CC105105C</t>
  </si>
  <si>
    <t>CC105108C</t>
  </si>
  <si>
    <t>CC105201C</t>
  </si>
  <si>
    <t>CC105203C</t>
  </si>
  <si>
    <t>CC105205</t>
  </si>
  <si>
    <t>CC105206</t>
  </si>
  <si>
    <t>CC105207</t>
  </si>
  <si>
    <t>CC105208C</t>
  </si>
  <si>
    <t>CC105211</t>
  </si>
  <si>
    <t>CC105212C</t>
  </si>
  <si>
    <t>CC105214</t>
  </si>
  <si>
    <t>CC105301</t>
  </si>
  <si>
    <t>CC105302</t>
  </si>
  <si>
    <t>CC105303</t>
  </si>
  <si>
    <t>CC105304C</t>
  </si>
  <si>
    <t>CC105306</t>
  </si>
  <si>
    <t>CC105307</t>
  </si>
  <si>
    <t>CC105308C</t>
  </si>
  <si>
    <t>CC105401</t>
  </si>
  <si>
    <t>CC105402</t>
  </si>
  <si>
    <t>CC105403</t>
  </si>
  <si>
    <t>CC105404</t>
  </si>
  <si>
    <t>CC105405</t>
  </si>
  <si>
    <t>CC105406</t>
  </si>
  <si>
    <t>CC105407</t>
  </si>
  <si>
    <t>CC105408C</t>
  </si>
  <si>
    <t>Cognitive items: Overall Collaborative Problem Solving results for male students</t>
  </si>
  <si>
    <t>N</t>
  </si>
  <si>
    <t>System</t>
  </si>
  <si>
    <t>0 - No credit</t>
  </si>
  <si>
    <t>1 - Full credit</t>
  </si>
  <si>
    <t>Valid Skip</t>
  </si>
  <si>
    <t>Not Reached</t>
  </si>
  <si>
    <t>Not Applicable</t>
  </si>
  <si>
    <t>Invalid</t>
  </si>
  <si>
    <t>No Response</t>
  </si>
  <si>
    <t>All</t>
  </si>
  <si>
    <t>Missing %</t>
  </si>
  <si>
    <t>Valid</t>
  </si>
  <si>
    <t>%</t>
  </si>
  <si>
    <t>(SE)</t>
  </si>
  <si>
    <t>OECD</t>
  </si>
  <si>
    <t>Australia</t>
  </si>
  <si>
    <t>—</t>
  </si>
  <si>
    <t>Austria</t>
  </si>
  <si>
    <t>Belgium</t>
  </si>
  <si>
    <t>Canada</t>
  </si>
  <si>
    <t>Chile</t>
  </si>
  <si>
    <t>Czech Republic</t>
  </si>
  <si>
    <t>Denmark</t>
  </si>
  <si>
    <t>Estonia</t>
  </si>
  <si>
    <t>Finland</t>
  </si>
  <si>
    <t>France</t>
  </si>
  <si>
    <t>Germany</t>
  </si>
  <si>
    <t>Greece</t>
  </si>
  <si>
    <t>Hungary</t>
  </si>
  <si>
    <t>Iceland</t>
  </si>
  <si>
    <t>Ireland</t>
  </si>
  <si>
    <t>n/a</t>
  </si>
  <si>
    <t>Israel 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</si>
  <si>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</si>
  <si>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</si>
  <si>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</si>
  <si>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</si>
  <si>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</si>
  <si>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</si>
  <si>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</si>
  <si>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</si>
  <si>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</si>
  <si>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</si>
  <si>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</si>
  <si>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</si>
  <si>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</si>
  <si>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</si>
  <si>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</si>
  <si>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</si>
  <si>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</si>
  <si>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</si>
  <si>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</si>
  <si>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</si>
  <si>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</si>
  <si>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</si>
  <si>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Algeria</t>
  </si>
  <si>
    <t>Brazil</t>
  </si>
  <si>
    <t>Bulgaria</t>
  </si>
  <si>
    <t>B-S-J-G (China) ²</t>
  </si>
  <si>
    <t>CABA (Argentina) ³</t>
  </si>
  <si>
    <t>Colombia</t>
  </si>
  <si>
    <t>Costa Rica</t>
  </si>
  <si>
    <t>Croatia</t>
  </si>
  <si>
    <t>Cyprus ⁴</t>
  </si>
  <si>
    <t>Dominican Republic</t>
  </si>
  <si>
    <t>Georgia</t>
  </si>
  <si>
    <t>Hong Kong (China)</t>
  </si>
  <si>
    <t>Indonesia</t>
  </si>
  <si>
    <t>Jordan</t>
  </si>
  <si>
    <t>Kosovo</t>
  </si>
  <si>
    <t>Lebanon</t>
  </si>
  <si>
    <t>Lithuania</t>
  </si>
  <si>
    <t>Macao (China)</t>
  </si>
  <si>
    <t>FYROM ⁵</t>
  </si>
  <si>
    <t>Malta</t>
  </si>
  <si>
    <t>Moldova</t>
  </si>
  <si>
    <t>Montenegro</t>
  </si>
  <si>
    <t>Peru</t>
  </si>
  <si>
    <t>Qatar</t>
  </si>
  <si>
    <t>Romania</t>
  </si>
  <si>
    <t>Russia ⁶</t>
  </si>
  <si>
    <t>Singapore</t>
  </si>
  <si>
    <t>Chinese Taipei</t>
  </si>
  <si>
    <t>Thailand</t>
  </si>
  <si>
    <t>Trinidad and Tobago</t>
  </si>
  <si>
    <t>Tunisia</t>
  </si>
  <si>
    <t>United Arab Emirates</t>
  </si>
  <si>
    <t>Uruguay</t>
  </si>
  <si>
    <t>Viet Nam</t>
  </si>
  <si>
    <t>Argentina ⁷</t>
  </si>
  <si>
    <t>Kazakhstan ⁷</t>
  </si>
  <si>
    <t>Malaysia ⁷</t>
  </si>
  <si>
    <t xml:space="preserve"> </t>
  </si>
  <si>
    <t>Data Notes:</t>
  </si>
  <si>
    <t>n/a Data not available</t>
  </si>
  <si>
    <t>— No data</t>
  </si>
  <si>
    <t>'System Missing %' for cognitive questions refers to the percentage of data missing because a respondent did not see a question. This may have occurred when the student did not receive a particular set of questions (cluster) by design, exited the assessment early, ran out of time, or refused, or when a technical issue was encountered. Variables that derive themselves from other variables that are 'System Missing' may also retain a 'System Missing' value.</t>
  </si>
  <si>
    <t>Country Notes:</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</si>
  <si>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</si>
  <si>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</si>
  <si>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CABA (Argentina) refers to Ciudad Autónoma de Buenos Aires (Argentina).</t>
  </si>
  <si>
    <t>⁴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</si>
  <si>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Note by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</si>
  <si>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FYROM refers to the Former Yugoslav Republic of Macedonia.</t>
  </si>
  <si>
    <t>⁶ Russia refers to the Russian Federation.</t>
  </si>
  <si>
    <t>⁷ Argentina, Kazakhstan and Malaysia: Coverage is too small to ensure comparability (see "PISA 2015 Results [Volume I]: Excellence and Equity in Education" [OECD, 2016], Annex A4).</t>
  </si>
  <si>
    <t>CC104301C: SUM CC104301+CC104302+CC104304</t>
  </si>
  <si>
    <t>No Credit</t>
  </si>
  <si>
    <t>Partial Credit1</t>
  </si>
  <si>
    <t>Partial Credit2</t>
  </si>
  <si>
    <t>Full Credit</t>
  </si>
  <si>
    <t>CC106103: CC106103: Quentin, do you have any suggestions?</t>
  </si>
  <si>
    <t>CC106104: CC106104: Hey Quentin, didn't you know that we can win a prize with our film? Come on, let's try it!</t>
  </si>
  <si>
    <t>CC106105: CC106105: Let´s pick a more current subject, and one where we have some good sources of information.</t>
  </si>
  <si>
    <t>CC106106: CC106106: I don't know much about the other subjects, but I watched a documentary about waste prevention the other da</t>
  </si>
  <si>
    <t>CC106107C: SUM CC106107+CC106108</t>
  </si>
  <si>
    <t>CC106201: CC106201: Hi, guys.  Let's start by finding out what filmmaking skills we each have.</t>
  </si>
  <si>
    <t>CC106202: CC106202: I'm good at writing, and I also have some experience with film equipment.</t>
  </si>
  <si>
    <t>CC106203: CC106203: We should talk about who wants to do each task. I'd really like to write the script.</t>
  </si>
  <si>
    <t>CC106204: CC106204: We're going to need film equipment.  Does anyone have it, or know where we can get it?</t>
  </si>
  <si>
    <t>CC106205: CC106205: The interview will give us a lot of information.  It's too important to skip.</t>
  </si>
  <si>
    <t>CC106206: CC106206: We're all good writers. If  we share the script writing, I'll edit the film.</t>
  </si>
  <si>
    <t>CC106207: CC106207: What's the problem with letting Quentin use the equipment, Steffi?</t>
  </si>
  <si>
    <t>CC106208: CC106208: Steffi, would you let Quentin use the equipment if he promises to pay for any damage?</t>
  </si>
  <si>
    <t>CC106209: CC106209: Full credit (2) = all six correct assignments [seven if Node 106 was chosen]:  You = Writing &amp; Editing [&amp; F</t>
  </si>
  <si>
    <t>1 - Partial credit</t>
  </si>
  <si>
    <t>2 - Full credit</t>
  </si>
  <si>
    <t>CC106301: CC106301: Hi guys.  Do you already have appointments during the next two weeks?</t>
  </si>
  <si>
    <t>CC106302: CC106302: I have a doctor's appointment on the 3rd and a trip with my family on the 7th.</t>
  </si>
  <si>
    <t>CC106303: CC106303: A bicycle tour. By the way, Steffi, when is your father available for the interview?</t>
  </si>
  <si>
    <t>CC106304: CC106304: The 10th? That´s too late. We also have to edit the film!</t>
  </si>
  <si>
    <t>CC106305: CC106305: I don't think so, Steffi. Isn't the school event the next day?</t>
  </si>
  <si>
    <t>CC106306: CC106306: We don't have a lot of choice. Quentin, could you postpone your computer game so we can write on the 1st?</t>
  </si>
  <si>
    <t>CC106307: CC106307: Full credit (2) = all five tasks scheduled correctly [Writing on the 1st; Delivery on either the 3rd or the</t>
  </si>
  <si>
    <t>CC102101: CC102101: Can you please let Sally and Tina know about the new plans for the hiking area?</t>
  </si>
  <si>
    <t>CC102102C: SUM CC102102+CC102103</t>
  </si>
  <si>
    <t>CC102201: CC102201: Can we wait to talk about when the bus will leave until Sally gives us the bus schedule information?</t>
  </si>
  <si>
    <t>CC102202: CC102202: We do need to decide about the trails, but we also have one more time to fill in.</t>
  </si>
  <si>
    <t>CC102203: CC102203: That's right. What do you all think?</t>
  </si>
  <si>
    <t>CC102204: CC102204: That works. We still need to decide on a hiking trail, and we need to decide what size bus to take. Let's s</t>
  </si>
  <si>
    <t>CC102205: CC102205: Tina, can you talk about the costs of the two options?</t>
  </si>
  <si>
    <t>CC102206: CC102206: If we go with the big bus, we will not have money to pay for food for the picnic. Do we want to do that?</t>
  </si>
  <si>
    <t>CC102207: CC102207: Sally, I think Andrew has information that can help us decide. Andrew?</t>
  </si>
  <si>
    <t>CC102208: CC102207: Sally, I think Andrew has information that can help us decide. Andrew?</t>
  </si>
  <si>
    <t>CC102209C: SUM CC102209+CC102210+CC102211</t>
  </si>
  <si>
    <t>CC102212: CC102212: 20</t>
  </si>
  <si>
    <t>CC102213: CC102213: B</t>
  </si>
  <si>
    <t>CC103101: CC103101: What do you think are the main things we need to do?</t>
  </si>
  <si>
    <t>CC103102: CC103102: I think we need to talk about this some more before moving forward.</t>
  </si>
  <si>
    <t>CC103103: CC103103: Let's include them, but let's be sure they support our main ideas.</t>
  </si>
  <si>
    <t>CC103104: CC103104: We need to choose the tasks that we want to do and are good at.</t>
  </si>
  <si>
    <t>CC103105: CC103105: Anna, is designing slides something you really want do?</t>
  </si>
  <si>
    <t>CC103106: CC103106: Jan is right. Anna, would you mind writing the text?</t>
  </si>
  <si>
    <t>CC103107: CC103107: Well, there's one task we haven't discussed yet.</t>
  </si>
  <si>
    <t>CC103108C: SUM CC103108+CC103109+CC103110+CC103111</t>
  </si>
  <si>
    <t>Partial Credit3</t>
  </si>
  <si>
    <t>CC103201: CC103201: Hey, how's your work going?</t>
  </si>
  <si>
    <t>CC103202: CC103202: Jan, please let's talk about this rumor later, okay?</t>
  </si>
  <si>
    <t>CC103203: CC103203: Do you have any suggestions about the background?</t>
  </si>
  <si>
    <t>CC103204: CC103204: Anna, what do you think about that?</t>
  </si>
  <si>
    <t>CC103205: CC103205: Jan, do you agree?</t>
  </si>
  <si>
    <t>CC103206: CC103206: Where should I put the text?  Should it be on the left or right of the illustration?</t>
  </si>
  <si>
    <t>CC103207: CC103207: I need your illustrations to prepare the slides. Please start working on them now!</t>
  </si>
  <si>
    <t>CC103209: CC103209: Score whether student chooses white background</t>
  </si>
  <si>
    <t>CC103210: CC103210: Score whether student puts text to left</t>
  </si>
  <si>
    <t>CC103211: CC103211: Score whether student makes heading bold</t>
  </si>
  <si>
    <t>CC103301: CC103301: Do you two already have any appointments this week? Monday is my aunt's birthday so I'm busy.</t>
  </si>
  <si>
    <t>CC103302: CC103302: Okay, we'll wait.</t>
  </si>
  <si>
    <t>CC103303: CC103303: Jan, are you sure you've got the right date?</t>
  </si>
  <si>
    <t>CC103304: CC103304: There's no day that's good for everybody.</t>
  </si>
  <si>
    <t>CC103305: CC103305: Are there any appointments that could be rescheduled?</t>
  </si>
  <si>
    <t>CC103306: CC103306: Anna, is it okay for you if we choose Tuesday?</t>
  </si>
  <si>
    <t>CC103307: CC103307: Okay! Sorry Jan, but I think the only possible day left now is Thursday.</t>
  </si>
  <si>
    <t>CC103308: CC103307: Okay! Sorry Jan, but I think the only possible day left now is Thursday.</t>
  </si>
  <si>
    <t>CC103309: CC103309: 4th</t>
  </si>
  <si>
    <t>CC100101: CC100101: Clicks on ''Join the Chat'' and does not click on a tab in the task space</t>
  </si>
  <si>
    <t>CC100102: CC100102: Maybe we should talk about strategy first.</t>
  </si>
  <si>
    <t>CC100103: CC100103: True, but what's a good way to do that?</t>
  </si>
  <si>
    <t>CC100104: CC100104:  We can answer more questions if we divide them among us.</t>
  </si>
  <si>
    <t>CC100105: CC100105: We could each take one of the subjects.</t>
  </si>
  <si>
    <t>CC100201: CC100201: Can each of you explain why you want that subject?</t>
  </si>
  <si>
    <t>CC100202: CC100202: It sounds as though People should be Alice's subject.  Zach, are you OK with that?</t>
  </si>
  <si>
    <t>CC100203: CC100203: I'll take Geography.</t>
  </si>
  <si>
    <t>CC100301: CC100301: Clicks on Geography button and a Geography link within 60 seconds, and does not open either the People or E</t>
  </si>
  <si>
    <t>CC100302: CC100302: I should answer the Geography questions.  Let's work on the subjects we chose.</t>
  </si>
  <si>
    <t>CC100401: CC100401: We look fine, except for Economy.</t>
  </si>
  <si>
    <t>CC100402: CC100401: We look fine, except for Economy.          ll help you--right Alice?</t>
  </si>
  <si>
    <t>CC105101: CC105101: No, I disagree. We should have all five types of plants.</t>
  </si>
  <si>
    <t>CC105102: CC105102: OK, who should go to each section?</t>
  </si>
  <si>
    <t>CC105103C: CC105103+CC105104: One Wrinklefruit.</t>
  </si>
  <si>
    <t>CC105105C: CC105105+CC105106+CC105107: Plant decisions.</t>
  </si>
  <si>
    <t>CC105108C: SUM CC105108+CC105109</t>
  </si>
  <si>
    <t>CC105201C: CC105201+CC105202: Discovering Adam's thoughts.</t>
  </si>
  <si>
    <t>CC105203C: SUM CC105203+CC105204</t>
  </si>
  <si>
    <t>CC105205: CC105205: That sounds fine, but what about the shady and dry part ?</t>
  </si>
  <si>
    <t>CC105206: CC105206: Check action:  TT places one Wrinklefruit in sunny\dry</t>
  </si>
  <si>
    <t>CC105207: CC105207: I'm not sure we all picked the best plants this time.</t>
  </si>
  <si>
    <t>CC105208C: CC105208+CC105209+CC105210: Locations.</t>
  </si>
  <si>
    <t>2 - Partial credit</t>
  </si>
  <si>
    <t>3 - Full credit</t>
  </si>
  <si>
    <t>CC105211: CC105211: Jill, there's probably a better type of plant for your part of the garden</t>
  </si>
  <si>
    <t>CC105212C: CC105212+CC105213: Enacting plans.</t>
  </si>
  <si>
    <t>CC105214: CC105214: OK, Adam and I will fill in the last part of the garden.</t>
  </si>
  <si>
    <t>CC105301: CC105301: Is there anything else we need to do every week?</t>
  </si>
  <si>
    <t>CC105302: CC105302: We should figure out how many times a week we need to water.</t>
  </si>
  <si>
    <t>CC105303: CC105303: Jill, I was wondering if you had also looked at a gardening website.</t>
  </si>
  <si>
    <t>CC105304C: CC105304+CC105305: Information regarding work.</t>
  </si>
  <si>
    <t>CC105306: CC105306: Adam, I'd like to hear what you were going to say.</t>
  </si>
  <si>
    <t>CC105307: CC105307: CHECK ACTION BY TEST-TAKER: IF TT  displays a schedule corresponding to schedule A.  Weeding and watering s</t>
  </si>
  <si>
    <t>CC105308C: SUM CC105308+CC105309</t>
  </si>
  <si>
    <t>CC105401: CC105401: What if we harvest something on a different day than the one on the schedule?</t>
  </si>
  <si>
    <t>CC105402: CC105402: Jill, do you have a note pad?  Can you write down what Adam said?</t>
  </si>
  <si>
    <t>CC105403: CC105403: What if we harvest something after its peak day or try to sell it after its peak day?</t>
  </si>
  <si>
    <t>CC105404: CC105404: What is it?</t>
  </si>
  <si>
    <t>CC105405: CC105405: Adam, would you rather do some of the selling?</t>
  </si>
  <si>
    <t>CC105406: CC105406: OK, I'll agree to that</t>
  </si>
  <si>
    <t>CC105407: CC105407: Hi. I might not see him at the garden.  Can you contact him yourself?</t>
  </si>
  <si>
    <t>CC105408C: SUM CC105408+CC105409</t>
  </si>
  <si>
    <t xml:space="preserve">CC104101: Meeting in the Park </t>
  </si>
  <si>
    <t xml:space="preserve">CC104102: Meeting in the Park </t>
  </si>
  <si>
    <t xml:space="preserve">CC104103: Meeting in the Park </t>
  </si>
  <si>
    <t xml:space="preserve">CC104104: Meeting in the Park </t>
  </si>
  <si>
    <t xml:space="preserve">CC104105: Meeting in the Park </t>
  </si>
  <si>
    <t xml:space="preserve">CC104106: Meeting in the Park </t>
  </si>
  <si>
    <t xml:space="preserve">CC104107: Meeting in the Park </t>
  </si>
  <si>
    <t xml:space="preserve">CC104201: Meeting in the Park </t>
  </si>
  <si>
    <t xml:space="preserve">CC104202: Meeting in the Park </t>
  </si>
  <si>
    <t xml:space="preserve">CC104203: Meeting in the Park </t>
  </si>
  <si>
    <t xml:space="preserve">CC104204: Meeting in the Park </t>
  </si>
  <si>
    <t xml:space="preserve">CC104205: Meeting in the Park </t>
  </si>
  <si>
    <t xml:space="preserve">CC104206: Meeting in the Park </t>
  </si>
  <si>
    <t xml:space="preserve">CC104303: Meeting in the Park </t>
  </si>
  <si>
    <t xml:space="preserve">CC104305: Meeting in the Park </t>
  </si>
  <si>
    <t xml:space="preserve">CC104306: Meeting in the Park </t>
  </si>
  <si>
    <t>CC106101: Making a Film</t>
  </si>
  <si>
    <t>CC106102: Making a Film</t>
  </si>
  <si>
    <t>CC106103: Making a Film</t>
  </si>
  <si>
    <t>CC106104: Making a Film</t>
  </si>
  <si>
    <t>CC106105: Making a Film</t>
  </si>
  <si>
    <t>CC106106: Making a Film</t>
  </si>
  <si>
    <t>CC106201: Making a Film</t>
  </si>
  <si>
    <t>CC106202: Making a Film</t>
  </si>
  <si>
    <t>CC106203: Making a Film</t>
  </si>
  <si>
    <t>CC106204: Making a Film</t>
  </si>
  <si>
    <t>CC106205: Making a Film</t>
  </si>
  <si>
    <t>CC106206: Making a Film</t>
  </si>
  <si>
    <t>CC106207: Making a Film</t>
  </si>
  <si>
    <t>CC106208: Making a Film</t>
  </si>
  <si>
    <t>CC106209: Making a Film</t>
  </si>
  <si>
    <t>CC106301: Making a Film</t>
  </si>
  <si>
    <t>CC106302: Making a Film</t>
  </si>
  <si>
    <t>CC106303: Making a Film</t>
  </si>
  <si>
    <t>CC106304: Making a Film</t>
  </si>
  <si>
    <t>CC106305: Making a Film</t>
  </si>
  <si>
    <t>CC106306: Making a Film</t>
  </si>
  <si>
    <t>CC106307: Making a Film</t>
  </si>
  <si>
    <t>CC102101: Field Trip</t>
  </si>
  <si>
    <t>CC102201: Field Trip</t>
  </si>
  <si>
    <t>CC102202: Field Trip</t>
  </si>
  <si>
    <t>CC102203: Field Trip</t>
  </si>
  <si>
    <t>CC102204: Field Trip</t>
  </si>
  <si>
    <t>CC102205: Field Trip</t>
  </si>
  <si>
    <t>CC102206: Field Trip</t>
  </si>
  <si>
    <t>CC102207: Field Trip</t>
  </si>
  <si>
    <t>CC102208: Field Trip</t>
  </si>
  <si>
    <t>CC102212: Field Trip</t>
  </si>
  <si>
    <t>CC102213: Field Trip</t>
  </si>
  <si>
    <t>CC103102: Preparing a Presentation</t>
  </si>
  <si>
    <t>CC103103: Preparing a Presentation</t>
  </si>
  <si>
    <t>CC103104: Preparing a Presentation</t>
  </si>
  <si>
    <t>CC103105: Preparing a Presentation</t>
  </si>
  <si>
    <t>CC103106: Preparing a Presentation</t>
  </si>
  <si>
    <t>CC103107: Preparing a Presentation</t>
  </si>
  <si>
    <t>CC103201: Preparing a Presentation</t>
  </si>
  <si>
    <t>CC103202: Preparing a Presentation</t>
  </si>
  <si>
    <t>CC103203: Preparing a Presentation</t>
  </si>
  <si>
    <t>CC103204: Preparing a Presentation</t>
  </si>
  <si>
    <t>CC103205: Preparing a Presentation</t>
  </si>
  <si>
    <t>CC103206: Preparing a Presentation</t>
  </si>
  <si>
    <t>CC103207: Preparing a Presentation</t>
  </si>
  <si>
    <t>CC103209: Preparing a Presentation</t>
  </si>
  <si>
    <t>CC103210: Preparing a Presentation</t>
  </si>
  <si>
    <t>CC103211: Preparing a Presentation</t>
  </si>
  <si>
    <t>CC103301: Preparing a Presentation</t>
  </si>
  <si>
    <t>CC103302: Preparing a Presentation</t>
  </si>
  <si>
    <t>CC103303: Preparing a Presentation</t>
  </si>
  <si>
    <t>CC103304: Preparing a Presentation</t>
  </si>
  <si>
    <t>CC103305: Preparing a Presentation</t>
  </si>
  <si>
    <t>CC103306: Preparing a Presentation</t>
  </si>
  <si>
    <t>CC103307: Preparing a Presentation</t>
  </si>
  <si>
    <t>CC103308: Preparing a Presentation</t>
  </si>
  <si>
    <t>CC103309: Preparing a Presentation</t>
  </si>
  <si>
    <t>CC100101: Xandar</t>
  </si>
  <si>
    <t>CC100102: Xandar</t>
  </si>
  <si>
    <t>CC100103: Xandar</t>
  </si>
  <si>
    <t>CC100104: Xandar</t>
  </si>
  <si>
    <t>CC100105: Xandar</t>
  </si>
  <si>
    <t>CC100201: Xandar</t>
  </si>
  <si>
    <t>CC100202: Xandar</t>
  </si>
  <si>
    <t>CC100203: Xandar</t>
  </si>
  <si>
    <t>CC100301: Xandar</t>
  </si>
  <si>
    <t>CC100302: Xandar</t>
  </si>
  <si>
    <t>CC100401: Xandar</t>
  </si>
  <si>
    <t>CC100402: Xandar</t>
  </si>
  <si>
    <t>CC105101: The Garden</t>
  </si>
  <si>
    <t>CC105102: The Garden</t>
  </si>
  <si>
    <t>CC105205: The Garden</t>
  </si>
  <si>
    <t>CC105206: The Garden</t>
  </si>
  <si>
    <t>CC105207: The Garden</t>
  </si>
  <si>
    <t>CC105211: The Garden</t>
  </si>
  <si>
    <t>CC105214: The Garden</t>
  </si>
  <si>
    <t>CC105301: The Garden</t>
  </si>
  <si>
    <t>CC105302: The Garden</t>
  </si>
  <si>
    <t>CC105303: The Garden</t>
  </si>
  <si>
    <t>CC105306: The Garden</t>
  </si>
  <si>
    <t>CC105307: The Garden</t>
  </si>
  <si>
    <t>CC105401: The Garden</t>
  </si>
  <si>
    <t>CC105402: The Garden</t>
  </si>
  <si>
    <t>CC105403: The Garden</t>
  </si>
  <si>
    <t>CC105404: The Garden</t>
  </si>
  <si>
    <t>CC105405: The Garden</t>
  </si>
  <si>
    <t>CC105406: The Garden</t>
  </si>
  <si>
    <t>CC105407: The Garden</t>
  </si>
  <si>
    <t>CC104101: Meeting in the Park</t>
  </si>
  <si>
    <t>CC104102: Meeting in the Park</t>
  </si>
  <si>
    <t>CC104103: Meeting in the Park</t>
  </si>
  <si>
    <t>CC104104: Meeting in the Park</t>
  </si>
  <si>
    <t>CC104105: Meeting in the Park</t>
  </si>
  <si>
    <t>CC104106: Meeting in the Park</t>
  </si>
  <si>
    <t>CC104107: Meeting in the Park</t>
  </si>
  <si>
    <t>CC104201: Meeting in the Park</t>
  </si>
  <si>
    <t>CC104202: Meeting in the Park</t>
  </si>
  <si>
    <t>CC104203: Meeting in the Park</t>
  </si>
  <si>
    <t>CC104204: Meeting in the Park</t>
  </si>
  <si>
    <t>CC104205: Meeting in the Park</t>
  </si>
  <si>
    <t>CC104206: Meeting in the Park</t>
  </si>
  <si>
    <t>CC104303: Meeting in the Park</t>
  </si>
  <si>
    <t>CC104305: Meeting in the Park</t>
  </si>
  <si>
    <t>CC104306: Meeting in the Park</t>
  </si>
  <si>
    <t>CC103101: Preparing a Presentation</t>
  </si>
  <si>
    <t>CC104301C (SUM CC104301+CC104302+CC104304): Meeting in the Park</t>
  </si>
  <si>
    <t>CC106107C (SUM CC106107+CC106108): Making a Film</t>
  </si>
  <si>
    <t>CC102102C (SUM CC102102+CC102103): Field Trip</t>
  </si>
  <si>
    <t>CC102209C (SUM CC102209+CC102210+CC102211): Field Trip</t>
  </si>
  <si>
    <t>CC103108C (SUM CC103108+CC103109+CC103110+CC103111): Preparing a Presentation</t>
  </si>
  <si>
    <t>CC105108C (SUM CC105108+CC105109): The Garden</t>
  </si>
  <si>
    <t>CC105203C (SUM CC105203+CC105204): The Garden</t>
  </si>
  <si>
    <t>CC105308C (SUM CC105308+CC105309): The Garden</t>
  </si>
  <si>
    <t>CC105408C (SUM CC105408+CC105409): The Garden</t>
  </si>
  <si>
    <t>CC105103C (CC105103+CC105104): The Garden</t>
  </si>
  <si>
    <t>CC105105C (CC105105+CC105106+CC105107): The Garden</t>
  </si>
  <si>
    <t>CC105201C (CC105201+CC105202): The Garden</t>
  </si>
  <si>
    <t>CC105208C (CC105208+CC105209+CC105210): The Garden</t>
  </si>
  <si>
    <t>CC105212C (CC105212+CC105213): The Garden</t>
  </si>
  <si>
    <t>CC105304C (CC105304+CC105305): The Garden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</si>
</sst>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7" x14ac:knownFonts="1">
    <font>
      <sz val="11"/>
      <color theme="1"/>
      <name val="Calibri"/>
      <family val="2"/>
      <scheme val="minor"/>
    </font>
    <font>
      <b/>
      <sz val="10"/>
      <color rgb="FF000000"/>
      <name val="Arial"/>
      <family val="2"/>
    </font>
    <font>
      <u/>
      <sz val="10"/>
      <color rgb="FF0000FF"/>
      <name val="Arial"/>
      <family val="2"/>
    </font>
    <font>
      <sz val="10"/>
      <color rgb="FF000000"/>
      <name val="Arial"/>
      <family val="2"/>
    </font>
    <font>
      <sz val="11"/>
      <color theme="1"/>
      <name val="Calibri"/>
      <family val="2"/>
      <scheme val="minor"/>
    </font>
    <font>
      <sz val="10"/>
      <name val="Arial"/>
      <family val="2"/>
    </font>
    <font>
      <sz val="10"/>
      <name val="MS Sans Serif"/>
      <family val="2"/>
    </font>
  </fonts>
  <fills count="4">
    <fill>
      <patternFill patternType="none"/>
    </fill>
    <fill>
      <patternFill patternType="gray125"/>
    </fill>
    <fill>
      <patternFill patternType="solid">
        <fgColor rgb="FFDAEEF3"/>
        <bgColor rgb="FFDAEEF3"/>
      </patternFill>
    </fill>
    <fill>
      <patternFill patternType="solid">
        <fgColor rgb="FFFFFFFF"/>
        <bgColor rgb="FFFFFFFF"/>
      </patternFill>
    </fill>
  </fills>
  <borders count="7">
    <border>
      <left/>
      <right/>
      <top/>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style="thin">
        <color auto="1"/>
      </right>
      <top/>
      <bottom/>
      <diagonal/>
    </border>
  </borders>
  <cellStyleXfs count="8">
    <xf numFmtId="0" fontId="0" fillId="0" borderId="0"/>
    <xf numFmtId="0" fontId="5" fillId="0" borderId="0"/>
    <xf numFmtId="0" fontId="4" fillId="0" borderId="0"/>
    <xf numFmtId="0" fontId="4" fillId="0" borderId="0"/>
    <xf numFmtId="0" fontId="4" fillId="0" borderId="0"/>
    <xf numFmtId="0" fontId="6" fillId="0" borderId="0"/>
    <xf numFmtId="0" fontId="6" fillId="0" borderId="0"/>
    <xf numFmtId="0" fontId="5" fillId="0" borderId="0" applyNumberFormat="0" applyFill="0" applyBorder="0" applyAlignment="0" applyProtection="0"/>
  </cellStyleXfs>
  <cellXfs count="29">
    <xf numFmtId="0" fontId="0" fillId="0" borderId="0" xfId="0"/>
    <xf numFmtId="0" fontId="1" fillId="0" borderId="0" xfId="0" applyFont="1"/>
    <xf numFmtId="0" fontId="2" fillId="0" borderId="0" xfId="0" applyFont="1"/>
    <xf numFmtId="0" fontId="3" fillId="0" borderId="0" xfId="0" applyFont="1"/>
    <xf numFmtId="0" fontId="0" fillId="2" borderId="1" xfId="0" applyFill="1" applyBorder="1"/>
    <xf numFmtId="0" fontId="1" fillId="2" borderId="2" xfId="0" applyFont="1" applyFill="1" applyBorder="1" applyAlignment="1">
      <alignment horizontal="right" wrapText="1"/>
    </xf>
    <xf numFmtId="0" fontId="1" fillId="2" borderId="1" xfId="0" applyFont="1" applyFill="1" applyBorder="1" applyAlignment="1">
      <alignment horizontal="right" wrapText="1"/>
    </xf>
    <xf numFmtId="0" fontId="1" fillId="2" borderId="3" xfId="0" applyFont="1" applyFill="1" applyBorder="1" applyAlignment="1">
      <alignment horizontal="right" wrapText="1"/>
    </xf>
    <xf numFmtId="0" fontId="1" fillId="2" borderId="4" xfId="0" applyFont="1" applyFill="1" applyBorder="1" applyAlignment="1">
      <alignment horizontal="right" wrapText="1"/>
    </xf>
    <xf numFmtId="0" fontId="1" fillId="3" borderId="6" xfId="0" applyFont="1" applyFill="1" applyBorder="1"/>
    <xf numFmtId="0" fontId="0" fillId="3" borderId="0" xfId="0" applyFill="1"/>
    <xf numFmtId="0" fontId="3" fillId="3" borderId="6" xfId="0" applyFont="1" applyFill="1" applyBorder="1"/>
    <xf numFmtId="0" fontId="3" fillId="0" borderId="6" xfId="0" applyFont="1" applyBorder="1"/>
    <xf numFmtId="1" fontId="3" fillId="3" borderId="0" xfId="0" applyNumberFormat="1" applyFont="1" applyFill="1" applyAlignment="1">
      <alignment horizontal="right" wrapText="1"/>
    </xf>
    <xf numFmtId="2" fontId="3" fillId="3" borderId="0" xfId="0" applyNumberFormat="1" applyFont="1" applyFill="1" applyAlignment="1">
      <alignment horizontal="right" wrapText="1"/>
    </xf>
    <xf numFmtId="1" fontId="3" fillId="3" borderId="6" xfId="0" applyNumberFormat="1" applyFont="1" applyFill="1" applyBorder="1" applyAlignment="1">
      <alignment horizontal="right" wrapText="1"/>
    </xf>
    <xf numFmtId="164" fontId="3" fillId="3" borderId="6" xfId="0" applyNumberFormat="1" applyFont="1" applyFill="1" applyBorder="1" applyAlignment="1">
      <alignment horizontal="right" wrapText="1"/>
    </xf>
    <xf numFmtId="0" fontId="3" fillId="3" borderId="0" xfId="0" applyFont="1" applyFill="1" applyAlignment="1">
      <alignment horizontal="right" wrapText="1"/>
    </xf>
    <xf numFmtId="0" fontId="3" fillId="3" borderId="6" xfId="0" applyFont="1" applyFill="1" applyBorder="1" applyAlignment="1">
      <alignment horizontal="right" wrapText="1"/>
    </xf>
    <xf numFmtId="0" fontId="3" fillId="3" borderId="3" xfId="0" applyFont="1" applyFill="1" applyBorder="1"/>
    <xf numFmtId="0" fontId="0" fillId="3" borderId="2" xfId="0" applyFill="1" applyBorder="1"/>
    <xf numFmtId="0" fontId="0" fillId="0" borderId="0" xfId="0"/>
    <xf numFmtId="0" fontId="0" fillId="0" borderId="0" xfId="0"/>
    <xf numFmtId="0" fontId="1" fillId="2" borderId="5" xfId="0" applyFont="1" applyFill="1" applyBorder="1" applyAlignment="1">
      <alignment horizontal="center" wrapText="1"/>
    </xf>
    <xf numFmtId="0" fontId="1" fillId="2" borderId="5" xfId="0" applyFont="1" applyFill="1" applyBorder="1"/>
    <xf numFmtId="0" fontId="1" fillId="0" borderId="0" xfId="0" applyFont="1" applyAlignment="1">
      <alignment horizontal="left" vertical="top" wrapText="1"/>
    </xf>
    <xf numFmtId="0" fontId="0" fillId="0" borderId="0" xfId="0"/>
    <xf numFmtId="0" fontId="1" fillId="0" borderId="0" xfId="0" applyFont="1" applyAlignment="1">
      <alignment horizontal="left"/>
    </xf>
    <xf numFmtId="0" fontId="3" fillId="0" borderId="0" xfId="0" applyFont="1" applyAlignment="1">
      <alignment horizontal="left" vertical="top" wrapText="1"/>
    </xf>
  </cellXfs>
  <cellStyles count="8">
    <cellStyle name="Normal" xfId="0" builtinId="0"/>
    <cellStyle name="Normal 10" xfId="1"/>
    <cellStyle name="Normal 187 2 2 2 2" xfId="3"/>
    <cellStyle name="Normal 190" xfId="4"/>
    <cellStyle name="Normal 192" xfId="2"/>
    <cellStyle name="Normal 2" xfId="5"/>
    <cellStyle name="Normal 3" xfId="6"/>
    <cellStyle name="Normal 72" xfId="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122"/>
  <sheetViews>
    <sheetView tabSelected="1" zoomScale="80" workbookViewId="0"/>
  </sheetViews>
  <sheetFormatPr defaultColWidth="11.42578125" defaultRowHeight="15" x14ac:dyDescent="0.25"/>
  <cols>
    <col min="2" max="2" width="100" customWidth="1"/>
    <col min="4" max="11" width="11.5703125" customWidth="1"/>
  </cols>
  <sheetData>
    <row r="1" spans="1:8" x14ac:dyDescent="0.25">
      <c r="B1" s="1" t="s">
        <v>0</v>
      </c>
    </row>
    <row r="2" spans="1:8" x14ac:dyDescent="0.25">
      <c r="A2" s="2" t="s">
        <v>1</v>
      </c>
      <c r="B2" s="22" t="s">
        <v>446</v>
      </c>
    </row>
    <row r="3" spans="1:8" x14ac:dyDescent="0.25">
      <c r="A3" s="2" t="s">
        <v>2</v>
      </c>
      <c r="B3" s="22" t="s">
        <v>447</v>
      </c>
      <c r="D3" s="21"/>
      <c r="F3" s="21"/>
      <c r="H3" s="21"/>
    </row>
    <row r="4" spans="1:8" x14ac:dyDescent="0.25">
      <c r="A4" s="2" t="s">
        <v>3</v>
      </c>
      <c r="B4" s="22" t="s">
        <v>448</v>
      </c>
      <c r="D4" s="21"/>
      <c r="F4" s="21"/>
      <c r="H4" s="21"/>
    </row>
    <row r="5" spans="1:8" x14ac:dyDescent="0.25">
      <c r="A5" s="2" t="s">
        <v>4</v>
      </c>
      <c r="B5" s="22" t="s">
        <v>449</v>
      </c>
      <c r="D5" s="21"/>
      <c r="F5" s="21"/>
      <c r="H5" s="21"/>
    </row>
    <row r="6" spans="1:8" x14ac:dyDescent="0.25">
      <c r="A6" s="2" t="s">
        <v>5</v>
      </c>
      <c r="B6" s="22" t="s">
        <v>450</v>
      </c>
      <c r="D6" s="21"/>
      <c r="F6" s="21"/>
      <c r="H6" s="21"/>
    </row>
    <row r="7" spans="1:8" x14ac:dyDescent="0.25">
      <c r="A7" s="2" t="s">
        <v>6</v>
      </c>
      <c r="B7" s="22" t="s">
        <v>451</v>
      </c>
      <c r="D7" s="21"/>
      <c r="F7" s="21"/>
      <c r="H7" s="21"/>
    </row>
    <row r="8" spans="1:8" x14ac:dyDescent="0.25">
      <c r="A8" s="2" t="s">
        <v>7</v>
      </c>
      <c r="B8" s="22" t="s">
        <v>452</v>
      </c>
      <c r="D8" s="21"/>
      <c r="F8" s="21"/>
      <c r="H8" s="21"/>
    </row>
    <row r="9" spans="1:8" x14ac:dyDescent="0.25">
      <c r="A9" s="2" t="s">
        <v>8</v>
      </c>
      <c r="B9" s="22" t="s">
        <v>453</v>
      </c>
      <c r="D9" s="21"/>
      <c r="F9" s="21"/>
      <c r="H9" s="21"/>
    </row>
    <row r="10" spans="1:8" x14ac:dyDescent="0.25">
      <c r="A10" s="2" t="s">
        <v>9</v>
      </c>
      <c r="B10" s="22" t="s">
        <v>454</v>
      </c>
      <c r="D10" s="21"/>
      <c r="F10" s="21"/>
      <c r="H10" s="21"/>
    </row>
    <row r="11" spans="1:8" x14ac:dyDescent="0.25">
      <c r="A11" s="2" t="s">
        <v>10</v>
      </c>
      <c r="B11" s="22" t="s">
        <v>455</v>
      </c>
      <c r="D11" s="21"/>
      <c r="F11" s="21"/>
      <c r="H11" s="21"/>
    </row>
    <row r="12" spans="1:8" x14ac:dyDescent="0.25">
      <c r="A12" s="2" t="s">
        <v>11</v>
      </c>
      <c r="B12" s="22" t="s">
        <v>456</v>
      </c>
      <c r="D12" s="21"/>
      <c r="F12" s="21"/>
      <c r="H12" s="21"/>
    </row>
    <row r="13" spans="1:8" x14ac:dyDescent="0.25">
      <c r="A13" s="2" t="s">
        <v>12</v>
      </c>
      <c r="B13" s="22" t="s">
        <v>457</v>
      </c>
      <c r="D13" s="21"/>
      <c r="F13" s="21"/>
      <c r="H13" s="21"/>
    </row>
    <row r="14" spans="1:8" x14ac:dyDescent="0.25">
      <c r="A14" s="2" t="s">
        <v>13</v>
      </c>
      <c r="B14" s="22" t="s">
        <v>458</v>
      </c>
      <c r="D14" s="21"/>
      <c r="F14" s="21"/>
      <c r="H14" s="21"/>
    </row>
    <row r="15" spans="1:8" x14ac:dyDescent="0.25">
      <c r="A15" s="2" t="s">
        <v>14</v>
      </c>
      <c r="B15" s="22" t="s">
        <v>463</v>
      </c>
      <c r="D15" s="21"/>
      <c r="F15" s="21"/>
      <c r="H15" s="21"/>
    </row>
    <row r="16" spans="1:8" x14ac:dyDescent="0.25">
      <c r="A16" s="2" t="s">
        <v>15</v>
      </c>
      <c r="B16" s="22" t="s">
        <v>459</v>
      </c>
      <c r="D16" s="21"/>
      <c r="F16" s="21"/>
      <c r="H16" s="21"/>
    </row>
    <row r="17" spans="1:8" x14ac:dyDescent="0.25">
      <c r="A17" s="2" t="s">
        <v>16</v>
      </c>
      <c r="B17" s="22" t="s">
        <v>460</v>
      </c>
      <c r="D17" s="21"/>
      <c r="F17" s="21"/>
      <c r="H17" s="21"/>
    </row>
    <row r="18" spans="1:8" x14ac:dyDescent="0.25">
      <c r="A18" s="2" t="s">
        <v>17</v>
      </c>
      <c r="B18" s="22" t="s">
        <v>461</v>
      </c>
      <c r="D18" s="21"/>
      <c r="F18" s="21"/>
      <c r="H18" s="21"/>
    </row>
    <row r="19" spans="1:8" x14ac:dyDescent="0.25">
      <c r="A19" s="2" t="s">
        <v>18</v>
      </c>
      <c r="B19" s="22" t="s">
        <v>357</v>
      </c>
      <c r="D19" s="21"/>
      <c r="H19" s="21"/>
    </row>
    <row r="20" spans="1:8" x14ac:dyDescent="0.25">
      <c r="A20" s="2" t="s">
        <v>19</v>
      </c>
      <c r="B20" s="22" t="s">
        <v>358</v>
      </c>
      <c r="D20" s="21"/>
      <c r="F20" s="21"/>
      <c r="H20" s="21"/>
    </row>
    <row r="21" spans="1:8" x14ac:dyDescent="0.25">
      <c r="A21" s="2" t="s">
        <v>20</v>
      </c>
      <c r="B21" s="22" t="s">
        <v>359</v>
      </c>
      <c r="D21" s="21"/>
      <c r="F21" s="21"/>
      <c r="H21" s="21"/>
    </row>
    <row r="22" spans="1:8" x14ac:dyDescent="0.25">
      <c r="A22" s="2" t="s">
        <v>21</v>
      </c>
      <c r="B22" s="22" t="s">
        <v>360</v>
      </c>
      <c r="D22" s="21"/>
      <c r="F22" s="21"/>
      <c r="H22" s="21"/>
    </row>
    <row r="23" spans="1:8" x14ac:dyDescent="0.25">
      <c r="A23" s="2" t="s">
        <v>22</v>
      </c>
      <c r="B23" s="22" t="s">
        <v>361</v>
      </c>
      <c r="D23" s="21"/>
      <c r="F23" s="21"/>
      <c r="H23" s="21"/>
    </row>
    <row r="24" spans="1:8" x14ac:dyDescent="0.25">
      <c r="A24" s="2" t="s">
        <v>23</v>
      </c>
      <c r="B24" s="22" t="s">
        <v>362</v>
      </c>
      <c r="D24" s="21"/>
      <c r="F24" s="21"/>
      <c r="H24" s="21"/>
    </row>
    <row r="25" spans="1:8" x14ac:dyDescent="0.25">
      <c r="A25" s="2" t="s">
        <v>24</v>
      </c>
      <c r="B25" s="22" t="s">
        <v>464</v>
      </c>
      <c r="D25" s="21"/>
      <c r="F25" s="21"/>
      <c r="H25" s="21"/>
    </row>
    <row r="26" spans="1:8" x14ac:dyDescent="0.25">
      <c r="A26" s="2" t="s">
        <v>25</v>
      </c>
      <c r="B26" s="22" t="s">
        <v>363</v>
      </c>
      <c r="D26" s="21"/>
      <c r="F26" s="21"/>
      <c r="H26" s="21"/>
    </row>
    <row r="27" spans="1:8" x14ac:dyDescent="0.25">
      <c r="A27" s="2" t="s">
        <v>26</v>
      </c>
      <c r="B27" s="22" t="s">
        <v>364</v>
      </c>
      <c r="D27" s="21"/>
      <c r="F27" s="21"/>
      <c r="H27" s="21"/>
    </row>
    <row r="28" spans="1:8" x14ac:dyDescent="0.25">
      <c r="A28" s="2" t="s">
        <v>27</v>
      </c>
      <c r="B28" s="22" t="s">
        <v>365</v>
      </c>
      <c r="D28" s="21"/>
      <c r="F28" s="21"/>
      <c r="H28" s="21"/>
    </row>
    <row r="29" spans="1:8" x14ac:dyDescent="0.25">
      <c r="A29" s="2" t="s">
        <v>28</v>
      </c>
      <c r="B29" s="22" t="s">
        <v>366</v>
      </c>
      <c r="D29" s="21"/>
      <c r="F29" s="21"/>
      <c r="H29" s="21"/>
    </row>
    <row r="30" spans="1:8" x14ac:dyDescent="0.25">
      <c r="A30" s="2" t="s">
        <v>29</v>
      </c>
      <c r="B30" s="22" t="s">
        <v>367</v>
      </c>
      <c r="D30" s="21"/>
      <c r="F30" s="21"/>
      <c r="H30" s="21"/>
    </row>
    <row r="31" spans="1:8" x14ac:dyDescent="0.25">
      <c r="A31" s="2" t="s">
        <v>30</v>
      </c>
      <c r="B31" s="22" t="s">
        <v>368</v>
      </c>
      <c r="D31" s="21"/>
      <c r="F31" s="21"/>
      <c r="H31" s="21"/>
    </row>
    <row r="32" spans="1:8" x14ac:dyDescent="0.25">
      <c r="A32" s="2" t="s">
        <v>31</v>
      </c>
      <c r="B32" s="22" t="s">
        <v>369</v>
      </c>
      <c r="D32" s="21"/>
      <c r="F32" s="21"/>
      <c r="H32" s="21"/>
    </row>
    <row r="33" spans="1:8" x14ac:dyDescent="0.25">
      <c r="A33" s="2" t="s">
        <v>32</v>
      </c>
      <c r="B33" s="22" t="s">
        <v>370</v>
      </c>
      <c r="D33" s="21"/>
      <c r="F33" s="21"/>
      <c r="H33" s="21"/>
    </row>
    <row r="34" spans="1:8" x14ac:dyDescent="0.25">
      <c r="A34" s="2" t="s">
        <v>33</v>
      </c>
      <c r="B34" s="22" t="s">
        <v>371</v>
      </c>
      <c r="D34" s="21"/>
      <c r="F34" s="21"/>
      <c r="H34" s="21"/>
    </row>
    <row r="35" spans="1:8" x14ac:dyDescent="0.25">
      <c r="A35" s="2" t="s">
        <v>34</v>
      </c>
      <c r="B35" s="22" t="s">
        <v>372</v>
      </c>
      <c r="D35" s="21"/>
      <c r="F35" s="21"/>
      <c r="H35" s="21"/>
    </row>
    <row r="36" spans="1:8" x14ac:dyDescent="0.25">
      <c r="A36" s="2" t="s">
        <v>35</v>
      </c>
      <c r="B36" s="22" t="s">
        <v>373</v>
      </c>
      <c r="D36" s="21"/>
      <c r="F36" s="21"/>
      <c r="H36" s="21"/>
    </row>
    <row r="37" spans="1:8" x14ac:dyDescent="0.25">
      <c r="A37" s="2" t="s">
        <v>36</v>
      </c>
      <c r="B37" s="22" t="s">
        <v>374</v>
      </c>
      <c r="D37" s="21"/>
      <c r="F37" s="21"/>
      <c r="H37" s="21"/>
    </row>
    <row r="38" spans="1:8" x14ac:dyDescent="0.25">
      <c r="A38" s="2" t="s">
        <v>37</v>
      </c>
      <c r="B38" s="22" t="s">
        <v>375</v>
      </c>
      <c r="D38" s="21"/>
      <c r="F38" s="21"/>
      <c r="H38" s="21"/>
    </row>
    <row r="39" spans="1:8" x14ac:dyDescent="0.25">
      <c r="A39" s="2" t="s">
        <v>38</v>
      </c>
      <c r="B39" s="22" t="s">
        <v>376</v>
      </c>
      <c r="D39" s="21"/>
      <c r="F39" s="21"/>
      <c r="H39" s="21"/>
    </row>
    <row r="40" spans="1:8" x14ac:dyDescent="0.25">
      <c r="A40" s="2" t="s">
        <v>39</v>
      </c>
      <c r="B40" s="22" t="s">
        <v>377</v>
      </c>
      <c r="D40" s="21"/>
      <c r="F40" s="21"/>
      <c r="H40" s="21"/>
    </row>
    <row r="41" spans="1:8" x14ac:dyDescent="0.25">
      <c r="A41" s="2" t="s">
        <v>40</v>
      </c>
      <c r="B41" s="22" t="s">
        <v>378</v>
      </c>
      <c r="D41" s="21"/>
      <c r="F41" s="21"/>
      <c r="H41" s="21"/>
    </row>
    <row r="42" spans="1:8" x14ac:dyDescent="0.25">
      <c r="A42" s="2" t="s">
        <v>41</v>
      </c>
      <c r="B42" s="22" t="s">
        <v>379</v>
      </c>
      <c r="D42" s="21"/>
      <c r="H42" s="21"/>
    </row>
    <row r="43" spans="1:8" x14ac:dyDescent="0.25">
      <c r="A43" s="2" t="s">
        <v>42</v>
      </c>
      <c r="B43" s="22" t="s">
        <v>465</v>
      </c>
      <c r="D43" s="21"/>
      <c r="F43" s="21"/>
      <c r="H43" s="21"/>
    </row>
    <row r="44" spans="1:8" x14ac:dyDescent="0.25">
      <c r="A44" s="2" t="s">
        <v>43</v>
      </c>
      <c r="B44" s="22" t="s">
        <v>380</v>
      </c>
      <c r="D44" s="21"/>
      <c r="F44" s="21"/>
      <c r="H44" s="21"/>
    </row>
    <row r="45" spans="1:8" x14ac:dyDescent="0.25">
      <c r="A45" s="2" t="s">
        <v>44</v>
      </c>
      <c r="B45" s="22" t="s">
        <v>381</v>
      </c>
      <c r="D45" s="21"/>
      <c r="F45" s="21"/>
      <c r="H45" s="21"/>
    </row>
    <row r="46" spans="1:8" x14ac:dyDescent="0.25">
      <c r="A46" s="2" t="s">
        <v>45</v>
      </c>
      <c r="B46" s="22" t="s">
        <v>382</v>
      </c>
      <c r="D46" s="21"/>
      <c r="F46" s="21"/>
      <c r="H46" s="21"/>
    </row>
    <row r="47" spans="1:8" x14ac:dyDescent="0.25">
      <c r="A47" s="2" t="s">
        <v>46</v>
      </c>
      <c r="B47" s="22" t="s">
        <v>383</v>
      </c>
      <c r="D47" s="21"/>
      <c r="F47" s="21"/>
      <c r="H47" s="21"/>
    </row>
    <row r="48" spans="1:8" x14ac:dyDescent="0.25">
      <c r="A48" s="2" t="s">
        <v>47</v>
      </c>
      <c r="B48" s="22" t="s">
        <v>384</v>
      </c>
      <c r="D48" s="21"/>
      <c r="F48" s="21"/>
      <c r="H48" s="21"/>
    </row>
    <row r="49" spans="1:8" x14ac:dyDescent="0.25">
      <c r="A49" s="2" t="s">
        <v>48</v>
      </c>
      <c r="B49" s="22" t="s">
        <v>385</v>
      </c>
      <c r="D49" s="21"/>
      <c r="F49" s="21"/>
      <c r="H49" s="21"/>
    </row>
    <row r="50" spans="1:8" x14ac:dyDescent="0.25">
      <c r="A50" s="2" t="s">
        <v>49</v>
      </c>
      <c r="B50" s="22" t="s">
        <v>386</v>
      </c>
      <c r="D50" s="21"/>
      <c r="F50" s="21"/>
      <c r="H50" s="21"/>
    </row>
    <row r="51" spans="1:8" x14ac:dyDescent="0.25">
      <c r="A51" s="2" t="s">
        <v>50</v>
      </c>
      <c r="B51" s="22" t="s">
        <v>387</v>
      </c>
      <c r="D51" s="21"/>
      <c r="F51" s="21"/>
      <c r="H51" s="21"/>
    </row>
    <row r="52" spans="1:8" x14ac:dyDescent="0.25">
      <c r="A52" s="2" t="s">
        <v>51</v>
      </c>
      <c r="B52" s="22" t="s">
        <v>466</v>
      </c>
      <c r="D52" s="21"/>
      <c r="F52" s="21"/>
      <c r="H52" s="21"/>
    </row>
    <row r="53" spans="1:8" x14ac:dyDescent="0.25">
      <c r="A53" s="2" t="s">
        <v>52</v>
      </c>
      <c r="B53" s="22" t="s">
        <v>388</v>
      </c>
      <c r="D53" s="21"/>
      <c r="F53" s="21"/>
      <c r="H53" s="21"/>
    </row>
    <row r="54" spans="1:8" x14ac:dyDescent="0.25">
      <c r="A54" s="2" t="s">
        <v>53</v>
      </c>
      <c r="B54" s="22" t="s">
        <v>389</v>
      </c>
      <c r="D54" s="21"/>
      <c r="F54" s="21"/>
      <c r="H54" s="21"/>
    </row>
    <row r="55" spans="1:8" x14ac:dyDescent="0.25">
      <c r="A55" s="2" t="s">
        <v>54</v>
      </c>
      <c r="B55" s="22" t="s">
        <v>462</v>
      </c>
      <c r="D55" s="21"/>
      <c r="H55" s="21"/>
    </row>
    <row r="56" spans="1:8" x14ac:dyDescent="0.25">
      <c r="A56" s="2" t="s">
        <v>55</v>
      </c>
      <c r="B56" s="22" t="s">
        <v>390</v>
      </c>
      <c r="D56" s="21"/>
      <c r="F56" s="21"/>
      <c r="H56" s="21"/>
    </row>
    <row r="57" spans="1:8" x14ac:dyDescent="0.25">
      <c r="A57" s="2" t="s">
        <v>56</v>
      </c>
      <c r="B57" s="22" t="s">
        <v>391</v>
      </c>
      <c r="D57" s="21"/>
      <c r="F57" s="21"/>
      <c r="H57" s="21"/>
    </row>
    <row r="58" spans="1:8" x14ac:dyDescent="0.25">
      <c r="A58" s="2" t="s">
        <v>57</v>
      </c>
      <c r="B58" s="22" t="s">
        <v>392</v>
      </c>
      <c r="D58" s="21"/>
      <c r="F58" s="21"/>
      <c r="H58" s="21"/>
    </row>
    <row r="59" spans="1:8" x14ac:dyDescent="0.25">
      <c r="A59" s="2" t="s">
        <v>58</v>
      </c>
      <c r="B59" s="22" t="s">
        <v>393</v>
      </c>
      <c r="D59" s="21"/>
      <c r="F59" s="21"/>
      <c r="H59" s="21"/>
    </row>
    <row r="60" spans="1:8" x14ac:dyDescent="0.25">
      <c r="A60" s="2" t="s">
        <v>59</v>
      </c>
      <c r="B60" s="22" t="s">
        <v>394</v>
      </c>
      <c r="D60" s="21"/>
      <c r="F60" s="21"/>
      <c r="H60" s="21"/>
    </row>
    <row r="61" spans="1:8" x14ac:dyDescent="0.25">
      <c r="A61" s="2" t="s">
        <v>60</v>
      </c>
      <c r="B61" s="22" t="s">
        <v>395</v>
      </c>
      <c r="D61" s="21"/>
      <c r="F61" s="21"/>
      <c r="H61" s="21"/>
    </row>
    <row r="62" spans="1:8" x14ac:dyDescent="0.25">
      <c r="A62" s="2" t="s">
        <v>61</v>
      </c>
      <c r="B62" s="22" t="s">
        <v>467</v>
      </c>
      <c r="D62" s="21"/>
      <c r="F62" s="21"/>
      <c r="H62" s="21"/>
    </row>
    <row r="63" spans="1:8" x14ac:dyDescent="0.25">
      <c r="A63" s="2" t="s">
        <v>62</v>
      </c>
      <c r="B63" s="22" t="s">
        <v>396</v>
      </c>
      <c r="D63" s="21"/>
      <c r="F63" s="21"/>
      <c r="H63" s="21"/>
    </row>
    <row r="64" spans="1:8" x14ac:dyDescent="0.25">
      <c r="A64" s="2" t="s">
        <v>63</v>
      </c>
      <c r="B64" s="22" t="s">
        <v>397</v>
      </c>
      <c r="D64" s="21"/>
      <c r="F64" s="21"/>
      <c r="H64" s="21"/>
    </row>
    <row r="65" spans="1:8" x14ac:dyDescent="0.25">
      <c r="A65" s="2" t="s">
        <v>64</v>
      </c>
      <c r="B65" s="22" t="s">
        <v>398</v>
      </c>
      <c r="D65" s="21"/>
      <c r="F65" s="21"/>
      <c r="H65" s="21"/>
    </row>
    <row r="66" spans="1:8" x14ac:dyDescent="0.25">
      <c r="A66" s="2" t="s">
        <v>65</v>
      </c>
      <c r="B66" s="22" t="s">
        <v>399</v>
      </c>
      <c r="D66" s="21"/>
      <c r="F66" s="21"/>
      <c r="H66" s="21"/>
    </row>
    <row r="67" spans="1:8" x14ac:dyDescent="0.25">
      <c r="A67" s="2" t="s">
        <v>66</v>
      </c>
      <c r="B67" s="22" t="s">
        <v>400</v>
      </c>
      <c r="D67" s="21"/>
      <c r="F67" s="21"/>
      <c r="H67" s="21"/>
    </row>
    <row r="68" spans="1:8" x14ac:dyDescent="0.25">
      <c r="A68" s="2" t="s">
        <v>67</v>
      </c>
      <c r="B68" s="22" t="s">
        <v>401</v>
      </c>
      <c r="D68" s="21"/>
      <c r="F68" s="21"/>
      <c r="H68" s="21"/>
    </row>
    <row r="69" spans="1:8" x14ac:dyDescent="0.25">
      <c r="A69" s="2" t="s">
        <v>68</v>
      </c>
      <c r="B69" s="22" t="s">
        <v>402</v>
      </c>
      <c r="D69" s="21"/>
      <c r="F69" s="21"/>
      <c r="H69" s="21"/>
    </row>
    <row r="70" spans="1:8" x14ac:dyDescent="0.25">
      <c r="A70" s="2" t="s">
        <v>69</v>
      </c>
      <c r="B70" s="22" t="s">
        <v>403</v>
      </c>
      <c r="D70" s="21"/>
      <c r="F70" s="21"/>
      <c r="H70" s="21"/>
    </row>
    <row r="71" spans="1:8" x14ac:dyDescent="0.25">
      <c r="A71" s="2" t="s">
        <v>70</v>
      </c>
      <c r="B71" s="22" t="s">
        <v>404</v>
      </c>
      <c r="D71" s="21"/>
      <c r="F71" s="21"/>
      <c r="H71" s="21"/>
    </row>
    <row r="72" spans="1:8" x14ac:dyDescent="0.25">
      <c r="A72" s="2" t="s">
        <v>71</v>
      </c>
      <c r="B72" s="22" t="s">
        <v>405</v>
      </c>
      <c r="D72" s="21"/>
      <c r="F72" s="21"/>
      <c r="H72" s="21"/>
    </row>
    <row r="73" spans="1:8" x14ac:dyDescent="0.25">
      <c r="A73" s="2" t="s">
        <v>72</v>
      </c>
      <c r="B73" s="22" t="s">
        <v>406</v>
      </c>
      <c r="D73" s="21"/>
      <c r="F73" s="21"/>
      <c r="H73" s="21"/>
    </row>
    <row r="74" spans="1:8" x14ac:dyDescent="0.25">
      <c r="A74" s="2" t="s">
        <v>73</v>
      </c>
      <c r="B74" s="22" t="s">
        <v>407</v>
      </c>
      <c r="D74" s="21"/>
      <c r="F74" s="21"/>
      <c r="H74" s="21"/>
    </row>
    <row r="75" spans="1:8" x14ac:dyDescent="0.25">
      <c r="A75" s="2" t="s">
        <v>74</v>
      </c>
      <c r="B75" s="22" t="s">
        <v>408</v>
      </c>
      <c r="D75" s="21"/>
      <c r="F75" s="21"/>
      <c r="H75" s="21"/>
    </row>
    <row r="76" spans="1:8" x14ac:dyDescent="0.25">
      <c r="A76" s="2" t="s">
        <v>75</v>
      </c>
      <c r="B76" s="22" t="s">
        <v>409</v>
      </c>
      <c r="D76" s="21"/>
      <c r="F76" s="21"/>
      <c r="H76" s="21"/>
    </row>
    <row r="77" spans="1:8" x14ac:dyDescent="0.25">
      <c r="A77" s="2" t="s">
        <v>76</v>
      </c>
      <c r="B77" s="22" t="s">
        <v>410</v>
      </c>
      <c r="D77" s="21"/>
      <c r="F77" s="21"/>
      <c r="H77" s="21"/>
    </row>
    <row r="78" spans="1:8" x14ac:dyDescent="0.25">
      <c r="A78" s="2" t="s">
        <v>77</v>
      </c>
      <c r="B78" s="22" t="s">
        <v>411</v>
      </c>
      <c r="D78" s="21"/>
      <c r="F78" s="21"/>
      <c r="H78" s="21"/>
    </row>
    <row r="79" spans="1:8" x14ac:dyDescent="0.25">
      <c r="A79" s="2" t="s">
        <v>78</v>
      </c>
      <c r="B79" s="22" t="s">
        <v>412</v>
      </c>
      <c r="D79" s="21"/>
      <c r="F79" s="21"/>
      <c r="H79" s="21"/>
    </row>
    <row r="80" spans="1:8" x14ac:dyDescent="0.25">
      <c r="A80" s="2" t="s">
        <v>79</v>
      </c>
      <c r="B80" s="22" t="s">
        <v>413</v>
      </c>
      <c r="D80" s="21"/>
      <c r="F80" s="21"/>
      <c r="H80" s="21"/>
    </row>
    <row r="81" spans="1:8" x14ac:dyDescent="0.25">
      <c r="A81" s="2" t="s">
        <v>80</v>
      </c>
      <c r="B81" s="22" t="s">
        <v>414</v>
      </c>
      <c r="D81" s="21"/>
      <c r="F81" s="21"/>
      <c r="H81" s="21"/>
    </row>
    <row r="82" spans="1:8" x14ac:dyDescent="0.25">
      <c r="A82" s="2" t="s">
        <v>81</v>
      </c>
      <c r="B82" s="22" t="s">
        <v>415</v>
      </c>
      <c r="D82" s="21"/>
      <c r="H82" s="21"/>
    </row>
    <row r="83" spans="1:8" x14ac:dyDescent="0.25">
      <c r="A83" s="2" t="s">
        <v>82</v>
      </c>
      <c r="B83" s="22" t="s">
        <v>416</v>
      </c>
      <c r="D83" s="21"/>
      <c r="F83" s="21"/>
      <c r="H83" s="21"/>
    </row>
    <row r="84" spans="1:8" x14ac:dyDescent="0.25">
      <c r="A84" s="2" t="s">
        <v>83</v>
      </c>
      <c r="B84" s="22" t="s">
        <v>417</v>
      </c>
      <c r="D84" s="21"/>
      <c r="F84" s="21"/>
      <c r="H84" s="21"/>
    </row>
    <row r="85" spans="1:8" x14ac:dyDescent="0.25">
      <c r="A85" s="2" t="s">
        <v>84</v>
      </c>
      <c r="B85" s="22" t="s">
        <v>418</v>
      </c>
      <c r="D85" s="21"/>
      <c r="F85" s="21"/>
      <c r="H85" s="21"/>
    </row>
    <row r="86" spans="1:8" x14ac:dyDescent="0.25">
      <c r="A86" s="2" t="s">
        <v>85</v>
      </c>
      <c r="B86" s="22" t="s">
        <v>419</v>
      </c>
      <c r="D86" s="21"/>
      <c r="F86" s="21"/>
      <c r="H86" s="21"/>
    </row>
    <row r="87" spans="1:8" x14ac:dyDescent="0.25">
      <c r="A87" s="2" t="s">
        <v>86</v>
      </c>
      <c r="B87" s="22" t="s">
        <v>420</v>
      </c>
      <c r="D87" s="21"/>
      <c r="F87" s="21"/>
      <c r="H87" s="21"/>
    </row>
    <row r="88" spans="1:8" x14ac:dyDescent="0.25">
      <c r="A88" s="2" t="s">
        <v>87</v>
      </c>
      <c r="B88" s="22" t="s">
        <v>421</v>
      </c>
      <c r="D88" s="21"/>
      <c r="F88" s="21"/>
      <c r="H88" s="21"/>
    </row>
    <row r="89" spans="1:8" x14ac:dyDescent="0.25">
      <c r="A89" s="2" t="s">
        <v>88</v>
      </c>
      <c r="B89" s="22" t="s">
        <v>422</v>
      </c>
      <c r="D89" s="21"/>
      <c r="F89" s="21"/>
      <c r="H89" s="21"/>
    </row>
    <row r="90" spans="1:8" x14ac:dyDescent="0.25">
      <c r="A90" s="2" t="s">
        <v>89</v>
      </c>
      <c r="B90" s="22" t="s">
        <v>423</v>
      </c>
      <c r="D90" s="21"/>
      <c r="F90" s="21"/>
      <c r="H90" s="21"/>
    </row>
    <row r="91" spans="1:8" x14ac:dyDescent="0.25">
      <c r="A91" s="2" t="s">
        <v>90</v>
      </c>
      <c r="B91" s="22" t="s">
        <v>424</v>
      </c>
      <c r="D91" s="21"/>
      <c r="F91" s="21"/>
      <c r="H91" s="21"/>
    </row>
    <row r="92" spans="1:8" x14ac:dyDescent="0.25">
      <c r="A92" s="2" t="s">
        <v>91</v>
      </c>
      <c r="B92" s="22" t="s">
        <v>425</v>
      </c>
      <c r="D92" s="21"/>
      <c r="F92" s="21"/>
      <c r="H92" s="21"/>
    </row>
    <row r="93" spans="1:8" x14ac:dyDescent="0.25">
      <c r="A93" s="2" t="s">
        <v>92</v>
      </c>
      <c r="B93" s="22" t="s">
        <v>426</v>
      </c>
      <c r="D93" s="21"/>
      <c r="F93" s="21"/>
      <c r="H93" s="21"/>
    </row>
    <row r="94" spans="1:8" x14ac:dyDescent="0.25">
      <c r="A94" s="2" t="s">
        <v>93</v>
      </c>
      <c r="B94" s="22" t="s">
        <v>427</v>
      </c>
      <c r="D94" s="21"/>
      <c r="H94" s="21"/>
    </row>
    <row r="95" spans="1:8" x14ac:dyDescent="0.25">
      <c r="A95" s="2" t="s">
        <v>94</v>
      </c>
      <c r="B95" s="22" t="s">
        <v>428</v>
      </c>
      <c r="D95" s="21"/>
      <c r="F95" s="21"/>
      <c r="H95" s="21"/>
    </row>
    <row r="96" spans="1:8" x14ac:dyDescent="0.25">
      <c r="A96" s="2" t="s">
        <v>95</v>
      </c>
      <c r="B96" s="22" t="s">
        <v>472</v>
      </c>
      <c r="D96" s="21"/>
      <c r="F96" s="21"/>
      <c r="H96" s="21"/>
    </row>
    <row r="97" spans="1:8" x14ac:dyDescent="0.25">
      <c r="A97" s="2" t="s">
        <v>96</v>
      </c>
      <c r="B97" s="22" t="s">
        <v>473</v>
      </c>
      <c r="D97" s="21"/>
      <c r="F97" s="21"/>
      <c r="H97" s="21"/>
    </row>
    <row r="98" spans="1:8" x14ac:dyDescent="0.25">
      <c r="A98" s="2" t="s">
        <v>97</v>
      </c>
      <c r="B98" s="22" t="s">
        <v>468</v>
      </c>
      <c r="D98" s="21"/>
      <c r="F98" s="21"/>
      <c r="H98" s="21"/>
    </row>
    <row r="99" spans="1:8" x14ac:dyDescent="0.25">
      <c r="A99" s="2" t="s">
        <v>98</v>
      </c>
      <c r="B99" s="22" t="s">
        <v>474</v>
      </c>
      <c r="D99" s="21"/>
      <c r="F99" s="21"/>
      <c r="H99" s="21"/>
    </row>
    <row r="100" spans="1:8" x14ac:dyDescent="0.25">
      <c r="A100" s="2" t="s">
        <v>99</v>
      </c>
      <c r="B100" s="22" t="s">
        <v>469</v>
      </c>
      <c r="D100" s="21"/>
      <c r="F100" s="21"/>
      <c r="H100" s="21"/>
    </row>
    <row r="101" spans="1:8" x14ac:dyDescent="0.25">
      <c r="A101" s="2" t="s">
        <v>100</v>
      </c>
      <c r="B101" s="22" t="s">
        <v>429</v>
      </c>
      <c r="D101" s="21"/>
      <c r="F101" s="21"/>
      <c r="H101" s="21"/>
    </row>
    <row r="102" spans="1:8" x14ac:dyDescent="0.25">
      <c r="A102" s="2" t="s">
        <v>101</v>
      </c>
      <c r="B102" s="22" t="s">
        <v>430</v>
      </c>
      <c r="D102" s="21"/>
      <c r="F102" s="21"/>
      <c r="H102" s="21"/>
    </row>
    <row r="103" spans="1:8" x14ac:dyDescent="0.25">
      <c r="A103" s="2" t="s">
        <v>102</v>
      </c>
      <c r="B103" s="22" t="s">
        <v>431</v>
      </c>
      <c r="D103" s="21"/>
      <c r="F103" s="21"/>
      <c r="H103" s="21"/>
    </row>
    <row r="104" spans="1:8" x14ac:dyDescent="0.25">
      <c r="A104" s="2" t="s">
        <v>103</v>
      </c>
      <c r="B104" s="22" t="s">
        <v>475</v>
      </c>
      <c r="D104" s="21"/>
      <c r="F104" s="21"/>
      <c r="H104" s="21"/>
    </row>
    <row r="105" spans="1:8" x14ac:dyDescent="0.25">
      <c r="A105" s="2" t="s">
        <v>104</v>
      </c>
      <c r="B105" s="22" t="s">
        <v>432</v>
      </c>
      <c r="D105" s="21"/>
      <c r="F105" s="21"/>
      <c r="H105" s="21"/>
    </row>
    <row r="106" spans="1:8" x14ac:dyDescent="0.25">
      <c r="A106" s="2" t="s">
        <v>105</v>
      </c>
      <c r="B106" s="22" t="s">
        <v>476</v>
      </c>
      <c r="D106" s="21"/>
      <c r="F106" s="21"/>
      <c r="H106" s="21"/>
    </row>
    <row r="107" spans="1:8" x14ac:dyDescent="0.25">
      <c r="A107" s="2" t="s">
        <v>106</v>
      </c>
      <c r="B107" s="22" t="s">
        <v>433</v>
      </c>
      <c r="D107" s="21"/>
      <c r="F107" s="21"/>
      <c r="H107" s="21"/>
    </row>
    <row r="108" spans="1:8" x14ac:dyDescent="0.25">
      <c r="A108" s="2" t="s">
        <v>107</v>
      </c>
      <c r="B108" s="22" t="s">
        <v>434</v>
      </c>
      <c r="D108" s="21"/>
      <c r="F108" s="21"/>
      <c r="H108" s="21"/>
    </row>
    <row r="109" spans="1:8" x14ac:dyDescent="0.25">
      <c r="A109" s="2" t="s">
        <v>108</v>
      </c>
      <c r="B109" s="22" t="s">
        <v>435</v>
      </c>
      <c r="D109" s="21"/>
      <c r="F109" s="21"/>
      <c r="H109" s="21"/>
    </row>
    <row r="110" spans="1:8" x14ac:dyDescent="0.25">
      <c r="A110" s="2" t="s">
        <v>109</v>
      </c>
      <c r="B110" s="22" t="s">
        <v>436</v>
      </c>
      <c r="D110" s="21"/>
      <c r="F110" s="21"/>
      <c r="H110" s="21"/>
    </row>
    <row r="111" spans="1:8" x14ac:dyDescent="0.25">
      <c r="A111" s="2" t="s">
        <v>110</v>
      </c>
      <c r="B111" s="22" t="s">
        <v>477</v>
      </c>
      <c r="D111" s="21"/>
      <c r="F111" s="21"/>
      <c r="H111" s="21"/>
    </row>
    <row r="112" spans="1:8" x14ac:dyDescent="0.25">
      <c r="A112" s="2" t="s">
        <v>111</v>
      </c>
      <c r="B112" s="22" t="s">
        <v>437</v>
      </c>
      <c r="D112" s="21"/>
      <c r="F112" s="21"/>
      <c r="H112" s="21"/>
    </row>
    <row r="113" spans="1:8" x14ac:dyDescent="0.25">
      <c r="A113" s="2" t="s">
        <v>112</v>
      </c>
      <c r="B113" s="22" t="s">
        <v>438</v>
      </c>
      <c r="D113" s="21"/>
      <c r="F113" s="21"/>
      <c r="H113" s="21"/>
    </row>
    <row r="114" spans="1:8" x14ac:dyDescent="0.25">
      <c r="A114" s="2" t="s">
        <v>113</v>
      </c>
      <c r="B114" s="22" t="s">
        <v>470</v>
      </c>
      <c r="D114" s="21"/>
      <c r="F114" s="21"/>
      <c r="H114" s="21"/>
    </row>
    <row r="115" spans="1:8" x14ac:dyDescent="0.25">
      <c r="A115" s="2" t="s">
        <v>114</v>
      </c>
      <c r="B115" s="22" t="s">
        <v>439</v>
      </c>
      <c r="D115" s="21"/>
      <c r="F115" s="21"/>
      <c r="H115" s="21"/>
    </row>
    <row r="116" spans="1:8" x14ac:dyDescent="0.25">
      <c r="A116" s="2" t="s">
        <v>115</v>
      </c>
      <c r="B116" s="22" t="s">
        <v>440</v>
      </c>
      <c r="D116" s="21"/>
      <c r="F116" s="21"/>
      <c r="H116" s="21"/>
    </row>
    <row r="117" spans="1:8" x14ac:dyDescent="0.25">
      <c r="A117" s="2" t="s">
        <v>116</v>
      </c>
      <c r="B117" s="22" t="s">
        <v>441</v>
      </c>
      <c r="D117" s="21"/>
      <c r="F117" s="21"/>
      <c r="H117" s="21"/>
    </row>
    <row r="118" spans="1:8" x14ac:dyDescent="0.25">
      <c r="A118" s="2" t="s">
        <v>117</v>
      </c>
      <c r="B118" s="22" t="s">
        <v>442</v>
      </c>
      <c r="D118" s="21"/>
      <c r="F118" s="21"/>
      <c r="H118" s="21"/>
    </row>
    <row r="119" spans="1:8" x14ac:dyDescent="0.25">
      <c r="A119" s="2" t="s">
        <v>118</v>
      </c>
      <c r="B119" s="22" t="s">
        <v>443</v>
      </c>
      <c r="D119" s="21"/>
      <c r="F119" s="21"/>
      <c r="H119" s="21"/>
    </row>
    <row r="120" spans="1:8" x14ac:dyDescent="0.25">
      <c r="A120" s="2" t="s">
        <v>119</v>
      </c>
      <c r="B120" s="22" t="s">
        <v>444</v>
      </c>
      <c r="D120" s="21"/>
      <c r="F120" s="21"/>
      <c r="H120" s="21"/>
    </row>
    <row r="121" spans="1:8" x14ac:dyDescent="0.25">
      <c r="A121" s="2" t="s">
        <v>120</v>
      </c>
      <c r="B121" s="22" t="s">
        <v>445</v>
      </c>
      <c r="D121" s="21"/>
      <c r="F121" s="21"/>
      <c r="H121" s="21"/>
    </row>
    <row r="122" spans="1:8" x14ac:dyDescent="0.25">
      <c r="A122" s="2" t="s">
        <v>121</v>
      </c>
      <c r="B122" s="22" t="s">
        <v>471</v>
      </c>
      <c r="D122" s="21"/>
      <c r="F122" s="21"/>
      <c r="H122" s="21"/>
    </row>
  </sheetData>
  <hyperlinks>
    <hyperlink ref="A2" location="'CC104101'!A6" display="CC104101"/>
    <hyperlink ref="A3" location="'CC104102'!A6" display="CC104102"/>
    <hyperlink ref="A4" location="'CC104103'!A6" display="CC104103"/>
    <hyperlink ref="A5" location="'CC104104'!A6" display="CC104104"/>
    <hyperlink ref="A6" location="'CC104105'!A6" display="CC104105"/>
    <hyperlink ref="A7" location="'CC104106'!A6" display="CC104106"/>
    <hyperlink ref="A8" location="'CC104107'!A6" display="CC104107"/>
    <hyperlink ref="A9" location="'CC104201'!A6" display="CC104201"/>
    <hyperlink ref="A10" location="'CC104202'!A6" display="CC104202"/>
    <hyperlink ref="A11" location="'CC104203'!A6" display="CC104203"/>
    <hyperlink ref="A12" location="'CC104204'!A6" display="CC104204"/>
    <hyperlink ref="A13" location="'CC104205'!A6" display="CC104205"/>
    <hyperlink ref="A14" location="'CC104206'!A6" display="CC104206"/>
    <hyperlink ref="A15" location="'CC104301C'!A6" display="CC104301C"/>
    <hyperlink ref="A16" location="'CC104303'!A6" display="CC104303"/>
    <hyperlink ref="A17" location="'CC104305'!A6" display="CC104305"/>
    <hyperlink ref="A18" location="'CC104306'!A6" display="CC104306"/>
    <hyperlink ref="A19" location="'CC106101'!A6" display="CC106101"/>
    <hyperlink ref="A20" location="'CC106102'!A6" display="CC106102"/>
    <hyperlink ref="A21" location="'CC106103'!A6" display="CC106103"/>
    <hyperlink ref="A22" location="'CC106104'!A6" display="CC106104"/>
    <hyperlink ref="A23" location="'CC106105'!A6" display="CC106105"/>
    <hyperlink ref="A24" location="'CC106106'!A6" display="CC106106"/>
    <hyperlink ref="A25" location="'CC106107C'!A6" display="CC106107C"/>
    <hyperlink ref="A26" location="'CC106201'!A6" display="CC106201"/>
    <hyperlink ref="A27" location="'CC106202'!A6" display="CC106202"/>
    <hyperlink ref="A28" location="'CC106203'!A6" display="CC106203"/>
    <hyperlink ref="A29" location="'CC106204'!A6" display="CC106204"/>
    <hyperlink ref="A30" location="'CC106205'!A6" display="CC106205"/>
    <hyperlink ref="A31" location="'CC106206'!A6" display="CC106206"/>
    <hyperlink ref="A32" location="'CC106207'!A6" display="CC106207"/>
    <hyperlink ref="A33" location="'CC106208'!A6" display="CC106208"/>
    <hyperlink ref="A34" location="'CC106209'!A6" display="CC106209"/>
    <hyperlink ref="A35" location="'CC106301'!A6" display="CC106301"/>
    <hyperlink ref="A36" location="'CC106302'!A6" display="CC106302"/>
    <hyperlink ref="A37" location="'CC106303'!A6" display="CC106303"/>
    <hyperlink ref="A38" location="'CC106304'!A6" display="CC106304"/>
    <hyperlink ref="A39" location="'CC106305'!A6" display="CC106305"/>
    <hyperlink ref="A40" location="'CC106306'!A6" display="CC106306"/>
    <hyperlink ref="A41" location="'CC106307'!A6" display="CC106307"/>
    <hyperlink ref="A42" location="'CC102101'!A6" display="CC102101"/>
    <hyperlink ref="A43" location="'CC102102C'!A6" display="CC102102C"/>
    <hyperlink ref="A44" location="'CC102201'!A6" display="CC102201"/>
    <hyperlink ref="A45" location="'CC102202'!A6" display="CC102202"/>
    <hyperlink ref="A46" location="'CC102203'!A6" display="CC102203"/>
    <hyperlink ref="A47" location="'CC102204'!A6" display="CC102204"/>
    <hyperlink ref="A48" location="'CC102205'!A6" display="CC102205"/>
    <hyperlink ref="A49" location="'CC102206'!A6" display="CC102206"/>
    <hyperlink ref="A50" location="'CC102207'!A6" display="CC102207"/>
    <hyperlink ref="A51" location="'CC102208'!A6" display="CC102208"/>
    <hyperlink ref="A52" location="'CC102209C'!A6" display="CC102209C"/>
    <hyperlink ref="A53" location="'CC102212'!A6" display="CC102212"/>
    <hyperlink ref="A54" location="'CC102213'!A6" display="CC102213"/>
    <hyperlink ref="A55" location="'CC103101'!A6" display="CC103101"/>
    <hyperlink ref="A56" location="'CC103102'!A6" display="CC103102"/>
    <hyperlink ref="A57" location="'CC103103'!A6" display="CC103103"/>
    <hyperlink ref="A58" location="'CC103104'!A6" display="CC103104"/>
    <hyperlink ref="A59" location="'CC103105'!A6" display="CC103105"/>
    <hyperlink ref="A60" location="'CC103106'!A6" display="CC103106"/>
    <hyperlink ref="A61" location="'CC103107'!A6" display="CC103107"/>
    <hyperlink ref="A62" location="'CC103108C'!A6" display="CC103108C"/>
    <hyperlink ref="A63" location="'CC103201'!A6" display="CC103201"/>
    <hyperlink ref="A64" location="'CC103202'!A6" display="CC103202"/>
    <hyperlink ref="A65" location="'CC103203'!A6" display="CC103203"/>
    <hyperlink ref="A66" location="'CC103204'!A6" display="CC103204"/>
    <hyperlink ref="A67" location="'CC103205'!A6" display="CC103205"/>
    <hyperlink ref="A68" location="'CC103206'!A6" display="CC103206"/>
    <hyperlink ref="A69" location="'CC103207'!A6" display="CC103207"/>
    <hyperlink ref="A70" location="'CC103209'!A6" display="CC103209"/>
    <hyperlink ref="A71" location="'CC103210'!A6" display="CC103210"/>
    <hyperlink ref="A72" location="'CC103211'!A6" display="CC103211"/>
    <hyperlink ref="A73" location="'CC103301'!A6" display="CC103301"/>
    <hyperlink ref="A74" location="'CC103302'!A6" display="CC103302"/>
    <hyperlink ref="A75" location="'CC103303'!A6" display="CC103303"/>
    <hyperlink ref="A76" location="'CC103304'!A6" display="CC103304"/>
    <hyperlink ref="A77" location="'CC103305'!A6" display="CC103305"/>
    <hyperlink ref="A78" location="'CC103306'!A6" display="CC103306"/>
    <hyperlink ref="A79" location="'CC103307'!A6" display="CC103307"/>
    <hyperlink ref="A80" location="'CC103308'!A6" display="CC103308"/>
    <hyperlink ref="A81" location="'CC103309'!A6" display="CC103309"/>
    <hyperlink ref="A82" location="'CC100101'!A6" display="CC100101"/>
    <hyperlink ref="A83" location="'CC100102'!A6" display="CC100102"/>
    <hyperlink ref="A84" location="'CC100103'!A6" display="CC100103"/>
    <hyperlink ref="A85" location="'CC100104'!A6" display="CC100104"/>
    <hyperlink ref="A86" location="'CC100105'!A6" display="CC100105"/>
    <hyperlink ref="A87" location="'CC100201'!A6" display="CC100201"/>
    <hyperlink ref="A88" location="'CC100202'!A6" display="CC100202"/>
    <hyperlink ref="A89" location="'CC100203'!A6" display="CC100203"/>
    <hyperlink ref="A90" location="'CC100301'!A6" display="CC100301"/>
    <hyperlink ref="A91" location="'CC100302'!A6" display="CC100302"/>
    <hyperlink ref="A92" location="'CC100401'!A6" display="CC100401"/>
    <hyperlink ref="A93" location="'CC100402'!A6" display="CC100402"/>
    <hyperlink ref="A94" location="'CC105101'!A6" display="CC105101"/>
    <hyperlink ref="A95" location="'CC105102'!A6" display="CC105102"/>
    <hyperlink ref="A96" location="'CC105103C'!A6" display="CC105103C"/>
    <hyperlink ref="A97" location="'CC105105C'!A6" display="CC105105C"/>
    <hyperlink ref="A98" location="'CC105108C'!A6" display="CC105108C"/>
    <hyperlink ref="A99" location="'CC105201C'!A6" display="CC105201C"/>
    <hyperlink ref="A100" location="'CC105203C'!A6" display="CC105203C"/>
    <hyperlink ref="A101" location="'CC105205'!A6" display="CC105205"/>
    <hyperlink ref="A102" location="'CC105206'!A6" display="CC105206"/>
    <hyperlink ref="A103" location="'CC105207'!A6" display="CC105207"/>
    <hyperlink ref="A104" location="'CC105208C'!A6" display="CC105208C"/>
    <hyperlink ref="A105" location="'CC105211'!A6" display="CC105211"/>
    <hyperlink ref="A106" location="'CC105212C'!A6" display="CC105212C"/>
    <hyperlink ref="A107" location="'CC105214'!A6" display="CC105214"/>
    <hyperlink ref="A108" location="'CC105301'!A6" display="CC105301"/>
    <hyperlink ref="A109" location="'CC105302'!A6" display="CC105302"/>
    <hyperlink ref="A110" location="'CC105303'!A6" display="CC105303"/>
    <hyperlink ref="A111" location="'CC105304C'!A6" display="CC105304C"/>
    <hyperlink ref="A112" location="'CC105306'!A6" display="CC105306"/>
    <hyperlink ref="A113" location="'CC105307'!A6" display="CC105307"/>
    <hyperlink ref="A114" location="'CC105308C'!A6" display="CC105308C"/>
    <hyperlink ref="A115" location="'CC105401'!A6" display="CC105401"/>
    <hyperlink ref="A116" location="'CC105402'!A6" display="CC105402"/>
    <hyperlink ref="A117" location="'CC105403'!A6" display="CC105403"/>
    <hyperlink ref="A118" location="'CC105404'!A6" display="CC105404"/>
    <hyperlink ref="A119" location="'CC105405'!A6" display="CC105405"/>
    <hyperlink ref="A120" location="'CC105406'!A6" display="CC105406"/>
    <hyperlink ref="A121" location="'CC105407'!A6" display="CC105407"/>
    <hyperlink ref="A122" location="'CC105408C'!A6" display="CC105408C"/>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96"/>
  <sheetViews>
    <sheetView zoomScale="80" workbookViewId="0">
      <pane xSplit="4" topLeftCell="E1" activePane="topRight" state="frozen"/>
      <selection pane="topRight" activeCell="A6" sqref="A6"/>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17.95553846</v>
      </c>
      <c r="F7" s="16">
        <v>1.2388916699999999</v>
      </c>
      <c r="G7" s="14">
        <v>82.04446154</v>
      </c>
      <c r="H7" s="16">
        <v>1.2388916699999999</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23.919891289999999</v>
      </c>
      <c r="F8" s="16">
        <v>1.94039921</v>
      </c>
      <c r="G8" s="14">
        <v>76.080108710000005</v>
      </c>
      <c r="H8" s="16">
        <v>1.94039921</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28.010573430000001</v>
      </c>
      <c r="F9" s="16">
        <v>1.52165836</v>
      </c>
      <c r="G9" s="14">
        <v>71.989426570000006</v>
      </c>
      <c r="H9" s="16">
        <v>1.52165836</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20.57241732</v>
      </c>
      <c r="F10" s="16">
        <v>1.30617688</v>
      </c>
      <c r="G10" s="14">
        <v>79.42758268</v>
      </c>
      <c r="H10" s="16">
        <v>1.30617688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43.466885179999998</v>
      </c>
      <c r="F11" s="16">
        <v>2.4536409899999998</v>
      </c>
      <c r="G11" s="14">
        <v>56.533114820000002</v>
      </c>
      <c r="H11" s="16">
        <v>2.4536409899999998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18.5831731</v>
      </c>
      <c r="F12" s="16">
        <v>1.6015573000000001</v>
      </c>
      <c r="G12" s="14">
        <v>81.416826900000004</v>
      </c>
      <c r="H12" s="16">
        <v>1.6015573000000001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19.178987589999998</v>
      </c>
      <c r="F13" s="16">
        <v>1.97439125</v>
      </c>
      <c r="G13" s="14">
        <v>80.821012409999994</v>
      </c>
      <c r="H13" s="16">
        <v>1.97439125</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16.183824789999999</v>
      </c>
      <c r="F14" s="16">
        <v>1.84632781</v>
      </c>
      <c r="G14" s="14">
        <v>83.816175209999997</v>
      </c>
      <c r="H14" s="16">
        <v>1.84632781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17.973672350000001</v>
      </c>
      <c r="F15" s="16">
        <v>1.7380795</v>
      </c>
      <c r="G15" s="14">
        <v>82.026327649999999</v>
      </c>
      <c r="H15" s="16">
        <v>1.7380795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24.275269990000002</v>
      </c>
      <c r="F16" s="16">
        <v>1.88880154</v>
      </c>
      <c r="G16" s="14">
        <v>75.724730010000002</v>
      </c>
      <c r="H16" s="16">
        <v>1.88880154</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16.383382099999999</v>
      </c>
      <c r="F17" s="16">
        <v>1.54315213</v>
      </c>
      <c r="G17" s="14">
        <v>83.616617899999994</v>
      </c>
      <c r="H17" s="16">
        <v>1.54315213</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35.772788720000001</v>
      </c>
      <c r="F18" s="16">
        <v>2.6598046800000001</v>
      </c>
      <c r="G18" s="14">
        <v>64.227211280000006</v>
      </c>
      <c r="H18" s="16">
        <v>2.6598046800000001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23.338051249999999</v>
      </c>
      <c r="F19" s="16">
        <v>2.55995668</v>
      </c>
      <c r="G19" s="14">
        <v>76.661948749999993</v>
      </c>
      <c r="H19" s="16">
        <v>2.55995668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29.294979529999999</v>
      </c>
      <c r="F20" s="16">
        <v>2.6188291000000001</v>
      </c>
      <c r="G20" s="14">
        <v>70.705020469999994</v>
      </c>
      <c r="H20" s="16">
        <v>2.6188291000000001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28.200274740000001</v>
      </c>
      <c r="F22" s="16">
        <v>1.91689109</v>
      </c>
      <c r="G22" s="14">
        <v>71.799725260000002</v>
      </c>
      <c r="H22" s="16">
        <v>1.91689109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34.436148619999997</v>
      </c>
      <c r="F23" s="16">
        <v>2.1302607199999999</v>
      </c>
      <c r="G23" s="14">
        <v>65.563851380000003</v>
      </c>
      <c r="H23" s="16">
        <v>2.1302607199999999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41.421718490000003</v>
      </c>
      <c r="F24" s="16">
        <v>2.31626172</v>
      </c>
      <c r="G24" s="14">
        <v>58.578281509999997</v>
      </c>
      <c r="H24" s="16">
        <v>2.31626172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22.29652553</v>
      </c>
      <c r="F25" s="16">
        <v>2.2118784900000001</v>
      </c>
      <c r="G25" s="14">
        <v>77.703474470000003</v>
      </c>
      <c r="H25" s="16">
        <v>2.2118784900000001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23.397164050000001</v>
      </c>
      <c r="F26" s="16">
        <v>2.2201810000000002</v>
      </c>
      <c r="G26" s="14">
        <v>76.602835949999999</v>
      </c>
      <c r="H26" s="16">
        <v>2.2201810000000002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23.123879590000001</v>
      </c>
      <c r="F27" s="16">
        <v>2.1479998299999998</v>
      </c>
      <c r="G27" s="14">
        <v>76.876120409999999</v>
      </c>
      <c r="H27" s="16">
        <v>2.1479998299999998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39.704279290000002</v>
      </c>
      <c r="F28" s="16">
        <v>2.0515539500000002</v>
      </c>
      <c r="G28" s="14">
        <v>60.295720709999998</v>
      </c>
      <c r="H28" s="16">
        <v>2.0515539500000002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28.1155106</v>
      </c>
      <c r="F29" s="16">
        <v>1.7950893999999999</v>
      </c>
      <c r="G29" s="14">
        <v>71.884489400000007</v>
      </c>
      <c r="H29" s="16">
        <v>1.7950893999999999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19.759629910000001</v>
      </c>
      <c r="F30" s="16">
        <v>1.6882971600000001</v>
      </c>
      <c r="G30" s="14">
        <v>80.240370089999999</v>
      </c>
      <c r="H30" s="16">
        <v>1.6882971600000001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22.55276774</v>
      </c>
      <c r="F31" s="16">
        <v>1.8072482400000001</v>
      </c>
      <c r="G31" s="14">
        <v>77.447232260000007</v>
      </c>
      <c r="H31" s="16">
        <v>1.8072482400000001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32.620565659999997</v>
      </c>
      <c r="F33" s="16">
        <v>2.29442083</v>
      </c>
      <c r="G33" s="14">
        <v>67.379434340000003</v>
      </c>
      <c r="H33" s="16">
        <v>2.29442083</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21.356925650000001</v>
      </c>
      <c r="F34" s="16">
        <v>2.0440574100000002</v>
      </c>
      <c r="G34" s="14">
        <v>78.643074350000006</v>
      </c>
      <c r="H34" s="16">
        <v>2.0440574100000002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28.677993600000001</v>
      </c>
      <c r="F35" s="16">
        <v>2.5461544300000001</v>
      </c>
      <c r="G35" s="14">
        <v>71.322006400000006</v>
      </c>
      <c r="H35" s="16">
        <v>2.5461544300000001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34.386382079999997</v>
      </c>
      <c r="F36" s="16">
        <v>2.2716486900000001</v>
      </c>
      <c r="G36" s="14">
        <v>65.613617919999996</v>
      </c>
      <c r="H36" s="16">
        <v>2.2716486900000001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26.18753877</v>
      </c>
      <c r="F37" s="16">
        <v>2.08887738</v>
      </c>
      <c r="G37" s="14">
        <v>73.812461229999997</v>
      </c>
      <c r="H37" s="16">
        <v>2.08887738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39.65390429</v>
      </c>
      <c r="F39" s="16">
        <v>2.3270471599999998</v>
      </c>
      <c r="G39" s="14">
        <v>60.34609571</v>
      </c>
      <c r="H39" s="16">
        <v>2.3270471599999998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23.792447379999999</v>
      </c>
      <c r="F40" s="16">
        <v>1.8565480299999999</v>
      </c>
      <c r="G40" s="14">
        <v>76.207552620000001</v>
      </c>
      <c r="H40" s="16">
        <v>1.8565480299999999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24.330591779999999</v>
      </c>
      <c r="F41" s="16">
        <v>2.05084373</v>
      </c>
      <c r="G41" s="14">
        <v>75.669408219999994</v>
      </c>
      <c r="H41" s="16">
        <v>2.05084373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26.528865089687496</v>
      </c>
      <c r="F42" s="16">
        <f>IF(COUNT(F7:F41) &gt; 0, SQRT(SUMSQ(F7:F41)/(COUNT(F7:F41)*COUNT(F7:F41)) ), "—")</f>
        <v>0.36275306176642391</v>
      </c>
      <c r="G42" s="14">
        <f>IF(COUNT(G7:G41) &gt; 0, AVERAGE(G7:G41), "—")</f>
        <v>73.4711349103125</v>
      </c>
      <c r="H42" s="16">
        <f>IF(COUNT(H7:H41) &gt; 0, SQRT(SUMSQ(H7:H41)/(COUNT(H7:H41)*COUNT(H7:H41)) ), "—")</f>
        <v>0.36275306176642391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47.265446220000001</v>
      </c>
      <c r="F46" s="16">
        <v>1.55378602</v>
      </c>
      <c r="G46" s="14">
        <v>52.734553779999999</v>
      </c>
      <c r="H46" s="16">
        <v>1.55378602</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32.61481191</v>
      </c>
      <c r="F47" s="16">
        <v>2.2418357599999998</v>
      </c>
      <c r="G47" s="14">
        <v>67.38518809</v>
      </c>
      <c r="H47" s="16">
        <v>2.2418357599999998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22.690063330000001</v>
      </c>
      <c r="F48" s="16">
        <v>2.0809614700000001</v>
      </c>
      <c r="G48" s="14">
        <v>77.309936669999999</v>
      </c>
      <c r="H48" s="16">
        <v>2.0809614700000001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47.481629990000002</v>
      </c>
      <c r="F50" s="16">
        <v>2.25571397</v>
      </c>
      <c r="G50" s="14">
        <v>52.518370009999998</v>
      </c>
      <c r="H50" s="16">
        <v>2.25571397</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38.22353416</v>
      </c>
      <c r="F51" s="16">
        <v>2.60097099</v>
      </c>
      <c r="G51" s="14">
        <v>61.77646584</v>
      </c>
      <c r="H51" s="16">
        <v>2.60097099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33.38173175</v>
      </c>
      <c r="F52" s="16">
        <v>2.3471947100000001</v>
      </c>
      <c r="G52" s="14">
        <v>66.61826825</v>
      </c>
      <c r="H52" s="16">
        <v>2.3471947100000001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43.116632119999998</v>
      </c>
      <c r="F53" s="16">
        <v>2.4052332999999999</v>
      </c>
      <c r="G53" s="14">
        <v>56.883367880000002</v>
      </c>
      <c r="H53" s="16">
        <v>2.4052332999999999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42.53738499</v>
      </c>
      <c r="F56" s="16">
        <v>2.7007521400000001</v>
      </c>
      <c r="G56" s="14">
        <v>57.46261501</v>
      </c>
      <c r="H56" s="16">
        <v>2.7007521400000001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23.713115720000001</v>
      </c>
      <c r="F61" s="16">
        <v>1.76115917</v>
      </c>
      <c r="G61" s="14">
        <v>76.286884279999995</v>
      </c>
      <c r="H61" s="16">
        <v>1.76115917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37.459699630000003</v>
      </c>
      <c r="F62" s="16">
        <v>2.6853793700000002</v>
      </c>
      <c r="G62" s="14">
        <v>62.540300369999997</v>
      </c>
      <c r="H62" s="16">
        <v>2.6853793700000002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42.253880989999999</v>
      </c>
      <c r="F66" s="16">
        <v>2.23588108</v>
      </c>
      <c r="G66" s="14">
        <v>57.746119010000001</v>
      </c>
      <c r="H66" s="16">
        <v>2.23588108</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57.544508200000003</v>
      </c>
      <c r="F67" s="16">
        <v>2.4365866999999999</v>
      </c>
      <c r="G67" s="14">
        <v>42.455491799999997</v>
      </c>
      <c r="H67" s="16">
        <v>2.4365866999999999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20.997210849999998</v>
      </c>
      <c r="F70" s="16">
        <v>1.8483498300000001</v>
      </c>
      <c r="G70" s="14">
        <v>79.002789149999998</v>
      </c>
      <c r="H70" s="16">
        <v>1.8483498300000001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23.739114619999999</v>
      </c>
      <c r="F72" s="16">
        <v>2.0219289800000002</v>
      </c>
      <c r="G72" s="14">
        <v>76.260885380000005</v>
      </c>
      <c r="H72" s="16">
        <v>2.0219289800000002</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37.12697979</v>
      </c>
      <c r="F73" s="16">
        <v>2.9206878600000001</v>
      </c>
      <c r="G73" s="14">
        <v>62.87302021</v>
      </c>
      <c r="H73" s="16">
        <v>2.9206878600000001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44.737727300000003</v>
      </c>
      <c r="F75" s="16">
        <v>2.88037075</v>
      </c>
      <c r="G75" s="14">
        <v>55.262272699999997</v>
      </c>
      <c r="H75" s="16">
        <v>2.88037075</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42.722579570000001</v>
      </c>
      <c r="F76" s="16">
        <v>1.6390022500000001</v>
      </c>
      <c r="G76" s="14">
        <v>57.277420429999999</v>
      </c>
      <c r="H76" s="16">
        <v>1.6390022500000001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42.715626159999999</v>
      </c>
      <c r="F77" s="16">
        <v>2.5506707999999998</v>
      </c>
      <c r="G77" s="14">
        <v>57.284373840000001</v>
      </c>
      <c r="H77" s="16">
        <v>2.5506707999999998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55.873259939999997</v>
      </c>
      <c r="F81" s="16">
        <v>2.1203372200000001</v>
      </c>
      <c r="G81" s="14">
        <v>44.126740060000003</v>
      </c>
      <c r="H81" s="16">
        <v>2.1203372200000001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29.426442829999999</v>
      </c>
      <c r="F7" s="16">
        <v>1.7590760400000001</v>
      </c>
      <c r="G7" s="14">
        <v>70.573557170000001</v>
      </c>
      <c r="H7" s="16">
        <v>1.7590760400000001</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28.269885290000001</v>
      </c>
      <c r="F8" s="16">
        <v>1.76524309</v>
      </c>
      <c r="G8" s="14">
        <v>71.730114709999995</v>
      </c>
      <c r="H8" s="16">
        <v>1.76524309</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32.549470169999999</v>
      </c>
      <c r="F9" s="16">
        <v>2.0145490000000001</v>
      </c>
      <c r="G9" s="14">
        <v>67.450529829999994</v>
      </c>
      <c r="H9" s="16">
        <v>2.0145490000000001</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28.697767410000001</v>
      </c>
      <c r="F10" s="16">
        <v>1.3401682800000001</v>
      </c>
      <c r="G10" s="14">
        <v>71.302232590000003</v>
      </c>
      <c r="H10" s="16">
        <v>1.3401682800000001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43.723496949999998</v>
      </c>
      <c r="F11" s="16">
        <v>2.6575796299999999</v>
      </c>
      <c r="G11" s="14">
        <v>56.276503050000002</v>
      </c>
      <c r="H11" s="16">
        <v>2.6575796299999999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32.118821099999998</v>
      </c>
      <c r="F12" s="16">
        <v>2.39080607</v>
      </c>
      <c r="G12" s="14">
        <v>67.881178899999995</v>
      </c>
      <c r="H12" s="16">
        <v>2.39080607</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27.507523800000001</v>
      </c>
      <c r="F13" s="16">
        <v>2.6037586799999999</v>
      </c>
      <c r="G13" s="14">
        <v>72.492476199999999</v>
      </c>
      <c r="H13" s="16">
        <v>2.6037586799999999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20.470720190000002</v>
      </c>
      <c r="F14" s="16">
        <v>2.1106604500000001</v>
      </c>
      <c r="G14" s="14">
        <v>79.529279810000006</v>
      </c>
      <c r="H14" s="16">
        <v>2.1106604500000001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29.479087490000001</v>
      </c>
      <c r="F15" s="16">
        <v>2.2797088900000002</v>
      </c>
      <c r="G15" s="14">
        <v>70.520912510000002</v>
      </c>
      <c r="H15" s="16">
        <v>2.2797088900000002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32.919723699999999</v>
      </c>
      <c r="F16" s="16">
        <v>1.9136647</v>
      </c>
      <c r="G16" s="14">
        <v>67.080276299999994</v>
      </c>
      <c r="H16" s="16">
        <v>1.9136647</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28.13718167</v>
      </c>
      <c r="F17" s="16">
        <v>1.75990198</v>
      </c>
      <c r="G17" s="14">
        <v>71.862818329999996</v>
      </c>
      <c r="H17" s="16">
        <v>1.75990198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40.610668619999998</v>
      </c>
      <c r="F18" s="16">
        <v>2.2969073899999999</v>
      </c>
      <c r="G18" s="14">
        <v>59.389331380000002</v>
      </c>
      <c r="H18" s="16">
        <v>2.2969073899999999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34.475664899999998</v>
      </c>
      <c r="F19" s="16">
        <v>2.4451559500000002</v>
      </c>
      <c r="G19" s="14">
        <v>65.524335100000002</v>
      </c>
      <c r="H19" s="16">
        <v>2.4451559500000002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34.869683590000001</v>
      </c>
      <c r="F20" s="16">
        <v>2.85181408</v>
      </c>
      <c r="G20" s="14">
        <v>65.130316410000006</v>
      </c>
      <c r="H20" s="16">
        <v>2.85181408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42.099483970000001</v>
      </c>
      <c r="F22" s="16">
        <v>2.4631005899999998</v>
      </c>
      <c r="G22" s="14">
        <v>57.900516029999999</v>
      </c>
      <c r="H22" s="16">
        <v>2.4631005899999998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42.85389352</v>
      </c>
      <c r="F23" s="16">
        <v>2.2908691299999999</v>
      </c>
      <c r="G23" s="14">
        <v>57.14610648</v>
      </c>
      <c r="H23" s="16">
        <v>2.2908691299999999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45.716274820000002</v>
      </c>
      <c r="F24" s="16">
        <v>1.8510851800000001</v>
      </c>
      <c r="G24" s="14">
        <v>54.283725179999998</v>
      </c>
      <c r="H24" s="16">
        <v>1.8510851800000001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37.0978323</v>
      </c>
      <c r="F25" s="16">
        <v>2.24739172</v>
      </c>
      <c r="G25" s="14">
        <v>62.9021677</v>
      </c>
      <c r="H25" s="16">
        <v>2.24739172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36.646861909999998</v>
      </c>
      <c r="F26" s="16">
        <v>2.2746823100000002</v>
      </c>
      <c r="G26" s="14">
        <v>63.353138090000002</v>
      </c>
      <c r="H26" s="16">
        <v>2.2746823100000002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36.187886069999998</v>
      </c>
      <c r="F27" s="16">
        <v>2.2987357300000002</v>
      </c>
      <c r="G27" s="14">
        <v>63.812113930000002</v>
      </c>
      <c r="H27" s="16">
        <v>2.2987357300000002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40.73719071</v>
      </c>
      <c r="F28" s="16">
        <v>2.4594175300000001</v>
      </c>
      <c r="G28" s="14">
        <v>59.26280929</v>
      </c>
      <c r="H28" s="16">
        <v>2.4594175300000001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41.71603425</v>
      </c>
      <c r="F29" s="16">
        <v>2.4587728100000001</v>
      </c>
      <c r="G29" s="14">
        <v>58.28396575</v>
      </c>
      <c r="H29" s="16">
        <v>2.4587728100000001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33.3434636</v>
      </c>
      <c r="F30" s="16">
        <v>2.5308364999999999</v>
      </c>
      <c r="G30" s="14">
        <v>66.656536399999993</v>
      </c>
      <c r="H30" s="16">
        <v>2.5308364999999999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38.755644740000001</v>
      </c>
      <c r="F31" s="16">
        <v>2.1137848300000002</v>
      </c>
      <c r="G31" s="14">
        <v>61.244355259999999</v>
      </c>
      <c r="H31" s="16">
        <v>2.1137848300000002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30.385198200000001</v>
      </c>
      <c r="F33" s="16">
        <v>2.3597472100000001</v>
      </c>
      <c r="G33" s="14">
        <v>69.614801799999995</v>
      </c>
      <c r="H33" s="16">
        <v>2.3597472100000001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37.420155919999999</v>
      </c>
      <c r="F34" s="16">
        <v>2.4524025800000002</v>
      </c>
      <c r="G34" s="14">
        <v>62.579844080000001</v>
      </c>
      <c r="H34" s="16">
        <v>2.4524025800000002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26.608804190000001</v>
      </c>
      <c r="F35" s="16">
        <v>1.7986175799999999</v>
      </c>
      <c r="G35" s="14">
        <v>73.391195809999999</v>
      </c>
      <c r="H35" s="16">
        <v>1.7986175799999999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30.5122435</v>
      </c>
      <c r="F36" s="16">
        <v>1.70075778</v>
      </c>
      <c r="G36" s="14">
        <v>69.487756500000003</v>
      </c>
      <c r="H36" s="16">
        <v>1.70075778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36.439933140000001</v>
      </c>
      <c r="F37" s="16">
        <v>2.5618495499999998</v>
      </c>
      <c r="G37" s="14">
        <v>63.560066859999999</v>
      </c>
      <c r="H37" s="16">
        <v>2.5618495499999998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54.764414160000001</v>
      </c>
      <c r="F39" s="16">
        <v>2.36726788</v>
      </c>
      <c r="G39" s="14">
        <v>45.235585839999999</v>
      </c>
      <c r="H39" s="16">
        <v>2.36726788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32.977464439999999</v>
      </c>
      <c r="F40" s="16">
        <v>2.2695743799999999</v>
      </c>
      <c r="G40" s="14">
        <v>67.022535559999994</v>
      </c>
      <c r="H40" s="16">
        <v>2.2695743799999999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31.858102179999999</v>
      </c>
      <c r="F41" s="16">
        <v>2.2791210500000001</v>
      </c>
      <c r="G41" s="14">
        <v>68.141897819999997</v>
      </c>
      <c r="H41" s="16">
        <v>2.2791210500000001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34.980531854062498</v>
      </c>
      <c r="F42" s="16">
        <f>IF(COUNT(F7:F41) &gt; 0, SQRT(SUMSQ(F7:F41)/(COUNT(F7:F41)*COUNT(F7:F41)) ), "—")</f>
        <v>0.39634889968603065</v>
      </c>
      <c r="G42" s="14">
        <f>IF(COUNT(G7:G41) &gt; 0, AVERAGE(G7:G41), "—")</f>
        <v>65.019468145937495</v>
      </c>
      <c r="H42" s="16">
        <f>IF(COUNT(H7:H41) &gt; 0, SQRT(SUMSQ(H7:H41)/(COUNT(H7:H41)*COUNT(H7:H41)) ), "—")</f>
        <v>0.39634889968603065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54.11951346</v>
      </c>
      <c r="F46" s="16">
        <v>1.4784563900000001</v>
      </c>
      <c r="G46" s="14">
        <v>45.88048654</v>
      </c>
      <c r="H46" s="16">
        <v>1.4784563900000001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44.700120040000002</v>
      </c>
      <c r="F47" s="16">
        <v>2.0028970400000001</v>
      </c>
      <c r="G47" s="14">
        <v>55.299879959999998</v>
      </c>
      <c r="H47" s="16">
        <v>2.0028970400000001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47.539201560000002</v>
      </c>
      <c r="F48" s="16">
        <v>2.1249258800000002</v>
      </c>
      <c r="G48" s="14">
        <v>52.460798439999998</v>
      </c>
      <c r="H48" s="16">
        <v>2.1249258800000002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50.360843529999997</v>
      </c>
      <c r="F50" s="16">
        <v>2.2189354799999998</v>
      </c>
      <c r="G50" s="14">
        <v>49.639156470000003</v>
      </c>
      <c r="H50" s="16">
        <v>2.2189354799999998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41.817429740000001</v>
      </c>
      <c r="F51" s="16">
        <v>2.4679166299999999</v>
      </c>
      <c r="G51" s="14">
        <v>58.182570259999999</v>
      </c>
      <c r="H51" s="16">
        <v>2.4679166299999999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38.067794880000001</v>
      </c>
      <c r="F52" s="16">
        <v>2.2429451299999998</v>
      </c>
      <c r="G52" s="14">
        <v>61.932205119999999</v>
      </c>
      <c r="H52" s="16">
        <v>2.2429451299999998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49.914234469999997</v>
      </c>
      <c r="F53" s="16">
        <v>2.0475151899999999</v>
      </c>
      <c r="G53" s="14">
        <v>50.085765530000003</v>
      </c>
      <c r="H53" s="16">
        <v>2.0475151899999999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37.450887899999998</v>
      </c>
      <c r="F56" s="16">
        <v>2.6755190199999999</v>
      </c>
      <c r="G56" s="14">
        <v>62.549112100000002</v>
      </c>
      <c r="H56" s="16">
        <v>2.6755190199999999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38.207086599999997</v>
      </c>
      <c r="F61" s="16">
        <v>2.5206744699999999</v>
      </c>
      <c r="G61" s="14">
        <v>61.792913400000003</v>
      </c>
      <c r="H61" s="16">
        <v>2.5206744699999999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38.510989420000001</v>
      </c>
      <c r="F62" s="16">
        <v>2.55951577</v>
      </c>
      <c r="G62" s="14">
        <v>61.489010579999999</v>
      </c>
      <c r="H62" s="16">
        <v>2.55951577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60.204027160000003</v>
      </c>
      <c r="F66" s="16">
        <v>2.2067645300000001</v>
      </c>
      <c r="G66" s="14">
        <v>39.795972839999997</v>
      </c>
      <c r="H66" s="16">
        <v>2.2067645300000001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58.144810319999998</v>
      </c>
      <c r="F67" s="16">
        <v>2.0295868800000001</v>
      </c>
      <c r="G67" s="14">
        <v>41.855189680000002</v>
      </c>
      <c r="H67" s="16">
        <v>2.0295868800000001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43.691260569999997</v>
      </c>
      <c r="F70" s="16">
        <v>2.2455832999999998</v>
      </c>
      <c r="G70" s="14">
        <v>56.308739430000003</v>
      </c>
      <c r="H70" s="16">
        <v>2.2455832999999998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39.517863400000003</v>
      </c>
      <c r="F72" s="16">
        <v>2.2687158900000002</v>
      </c>
      <c r="G72" s="14">
        <v>60.482136599999997</v>
      </c>
      <c r="H72" s="16">
        <v>2.2687158900000002</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51.798105280000001</v>
      </c>
      <c r="F73" s="16">
        <v>2.79454709</v>
      </c>
      <c r="G73" s="14">
        <v>48.201894719999999</v>
      </c>
      <c r="H73" s="16">
        <v>2.79454709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63.003211039999997</v>
      </c>
      <c r="F75" s="16">
        <v>2.6965818600000002</v>
      </c>
      <c r="G75" s="14">
        <v>36.996788960000003</v>
      </c>
      <c r="H75" s="16">
        <v>2.6965818600000002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52.839923349999999</v>
      </c>
      <c r="F76" s="16">
        <v>1.6735356299999999</v>
      </c>
      <c r="G76" s="14">
        <v>47.160076650000001</v>
      </c>
      <c r="H76" s="16">
        <v>1.6735356299999999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41.080438460000003</v>
      </c>
      <c r="F77" s="16">
        <v>2.4961826600000001</v>
      </c>
      <c r="G77" s="14">
        <v>58.919561539999997</v>
      </c>
      <c r="H77" s="16">
        <v>2.4961826600000001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55.98290738</v>
      </c>
      <c r="F81" s="16">
        <v>2.8187886099999999</v>
      </c>
      <c r="G81" s="14">
        <v>44.01709262</v>
      </c>
      <c r="H81" s="16">
        <v>2.8187886099999999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33.925951699999999</v>
      </c>
      <c r="F7" s="16">
        <v>1.6675694400000001</v>
      </c>
      <c r="G7" s="14">
        <v>66.074048300000001</v>
      </c>
      <c r="H7" s="16">
        <v>1.6675694400000001</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31.819562829999999</v>
      </c>
      <c r="F8" s="16">
        <v>2.40048811</v>
      </c>
      <c r="G8" s="14">
        <v>68.180437170000005</v>
      </c>
      <c r="H8" s="16">
        <v>2.40048811</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33.558200409999998</v>
      </c>
      <c r="F9" s="16">
        <v>1.5020153700000001</v>
      </c>
      <c r="G9" s="14">
        <v>66.441799590000002</v>
      </c>
      <c r="H9" s="16">
        <v>1.5020153700000001</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33.947108530000001</v>
      </c>
      <c r="F10" s="16">
        <v>1.4081334400000001</v>
      </c>
      <c r="G10" s="14">
        <v>66.052891470000006</v>
      </c>
      <c r="H10" s="16">
        <v>1.4081334400000001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52.732035539999998</v>
      </c>
      <c r="F11" s="16">
        <v>2.3211584200000002</v>
      </c>
      <c r="G11" s="14">
        <v>47.267964460000002</v>
      </c>
      <c r="H11" s="16">
        <v>2.3211584200000002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36.224452200000002</v>
      </c>
      <c r="F12" s="16">
        <v>2.6452115200000001</v>
      </c>
      <c r="G12" s="14">
        <v>63.775547799999998</v>
      </c>
      <c r="H12" s="16">
        <v>2.6452115200000001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32.764367239999999</v>
      </c>
      <c r="F13" s="16">
        <v>2.09610056</v>
      </c>
      <c r="G13" s="14">
        <v>67.235632760000001</v>
      </c>
      <c r="H13" s="16">
        <v>2.09610056</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29.009090409999999</v>
      </c>
      <c r="F14" s="16">
        <v>2.2901566600000001</v>
      </c>
      <c r="G14" s="14">
        <v>70.990909590000001</v>
      </c>
      <c r="H14" s="16">
        <v>2.2901566600000001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30.598965020000001</v>
      </c>
      <c r="F15" s="16">
        <v>2.3401349499999999</v>
      </c>
      <c r="G15" s="14">
        <v>69.401034980000006</v>
      </c>
      <c r="H15" s="16">
        <v>2.3401349499999999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35.699389349999997</v>
      </c>
      <c r="F16" s="16">
        <v>2.2988568900000002</v>
      </c>
      <c r="G16" s="14">
        <v>64.300610649999996</v>
      </c>
      <c r="H16" s="16">
        <v>2.2988568900000002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29.04902688</v>
      </c>
      <c r="F17" s="16">
        <v>1.93017375</v>
      </c>
      <c r="G17" s="14">
        <v>70.95097312</v>
      </c>
      <c r="H17" s="16">
        <v>1.93017375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56.91100041</v>
      </c>
      <c r="F18" s="16">
        <v>2.59839244</v>
      </c>
      <c r="G18" s="14">
        <v>43.08899959</v>
      </c>
      <c r="H18" s="16">
        <v>2.59839244</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35.207210439999997</v>
      </c>
      <c r="F19" s="16">
        <v>2.4372680299999998</v>
      </c>
      <c r="G19" s="14">
        <v>64.792789560000003</v>
      </c>
      <c r="H19" s="16">
        <v>2.4372680299999998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42.914628129999997</v>
      </c>
      <c r="F20" s="16">
        <v>2.8103129999999998</v>
      </c>
      <c r="G20" s="14">
        <v>57.085371870000003</v>
      </c>
      <c r="H20" s="16">
        <v>2.8103129999999998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51.879192320000001</v>
      </c>
      <c r="F22" s="16">
        <v>2.1448490800000002</v>
      </c>
      <c r="G22" s="14">
        <v>48.120807679999999</v>
      </c>
      <c r="H22" s="16">
        <v>2.1448490800000002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48.278484470000002</v>
      </c>
      <c r="F23" s="16">
        <v>1.9447516300000001</v>
      </c>
      <c r="G23" s="14">
        <v>51.721515529999998</v>
      </c>
      <c r="H23" s="16">
        <v>1.9447516300000001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43.982729120000002</v>
      </c>
      <c r="F24" s="16">
        <v>2.2476498</v>
      </c>
      <c r="G24" s="14">
        <v>56.017270879999998</v>
      </c>
      <c r="H24" s="16">
        <v>2.2476498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39.19783151</v>
      </c>
      <c r="F25" s="16">
        <v>2.0441853999999999</v>
      </c>
      <c r="G25" s="14">
        <v>60.80216849</v>
      </c>
      <c r="H25" s="16">
        <v>2.0441853999999999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46.585760090000001</v>
      </c>
      <c r="F26" s="16">
        <v>2.3073477900000001</v>
      </c>
      <c r="G26" s="14">
        <v>53.414239909999999</v>
      </c>
      <c r="H26" s="16">
        <v>2.3073477900000001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39.165941029999999</v>
      </c>
      <c r="F27" s="16">
        <v>2.2905296000000002</v>
      </c>
      <c r="G27" s="14">
        <v>60.834058970000001</v>
      </c>
      <c r="H27" s="16">
        <v>2.2905296000000002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57.836791769999998</v>
      </c>
      <c r="F28" s="16">
        <v>2.12738899</v>
      </c>
      <c r="G28" s="14">
        <v>42.163208230000002</v>
      </c>
      <c r="H28" s="16">
        <v>2.12738899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39.150733719999998</v>
      </c>
      <c r="F29" s="16">
        <v>2.5500789899999998</v>
      </c>
      <c r="G29" s="14">
        <v>60.849266280000002</v>
      </c>
      <c r="H29" s="16">
        <v>2.5500789899999998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37.158513990000003</v>
      </c>
      <c r="F30" s="16">
        <v>2.5259324099999998</v>
      </c>
      <c r="G30" s="14">
        <v>62.841486009999997</v>
      </c>
      <c r="H30" s="16">
        <v>2.5259324099999998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39.098719879999997</v>
      </c>
      <c r="F31" s="16">
        <v>1.91381965</v>
      </c>
      <c r="G31" s="14">
        <v>60.901280120000003</v>
      </c>
      <c r="H31" s="16">
        <v>1.91381965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37.430779119999997</v>
      </c>
      <c r="F33" s="16">
        <v>2.2009327299999999</v>
      </c>
      <c r="G33" s="14">
        <v>62.569220880000003</v>
      </c>
      <c r="H33" s="16">
        <v>2.2009327299999999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42.85538845</v>
      </c>
      <c r="F34" s="16">
        <v>2.2070797999999998</v>
      </c>
      <c r="G34" s="14">
        <v>57.14461155</v>
      </c>
      <c r="H34" s="16">
        <v>2.2070797999999998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33.834185150000003</v>
      </c>
      <c r="F35" s="16">
        <v>2.4884358199999999</v>
      </c>
      <c r="G35" s="14">
        <v>66.165814850000004</v>
      </c>
      <c r="H35" s="16">
        <v>2.4884358199999999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35.496090639999998</v>
      </c>
      <c r="F36" s="16">
        <v>1.9355751699999999</v>
      </c>
      <c r="G36" s="14">
        <v>64.503909359999994</v>
      </c>
      <c r="H36" s="16">
        <v>1.9355751699999999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43.731833569999999</v>
      </c>
      <c r="F37" s="16">
        <v>2.76914996</v>
      </c>
      <c r="G37" s="14">
        <v>56.268166430000001</v>
      </c>
      <c r="H37" s="16">
        <v>2.76914996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56.026972999999998</v>
      </c>
      <c r="F39" s="16">
        <v>2.42681456</v>
      </c>
      <c r="G39" s="14">
        <v>43.973027000000002</v>
      </c>
      <c r="H39" s="16">
        <v>2.42681456</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37.880015550000003</v>
      </c>
      <c r="F40" s="16">
        <v>2.24202148</v>
      </c>
      <c r="G40" s="14">
        <v>62.119984449999997</v>
      </c>
      <c r="H40" s="16">
        <v>2.24202148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35.912590090000002</v>
      </c>
      <c r="F41" s="16">
        <v>2.3069324099999999</v>
      </c>
      <c r="G41" s="14">
        <v>64.087409910000005</v>
      </c>
      <c r="H41" s="16">
        <v>2.3069324099999999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39.995735704999994</v>
      </c>
      <c r="F42" s="16">
        <f>IF(COUNT(F7:F41) &gt; 0, SQRT(SUMSQ(F7:F41)/(COUNT(F7:F41)*COUNT(F7:F41)) ), "—")</f>
        <v>0.39860250794399565</v>
      </c>
      <c r="G42" s="14">
        <f>IF(COUNT(G7:G41) &gt; 0, AVERAGE(G7:G41), "—")</f>
        <v>60.004264294999999</v>
      </c>
      <c r="H42" s="16">
        <f>IF(COUNT(H7:H41) &gt; 0, SQRT(SUMSQ(H7:H41)/(COUNT(H7:H41)*COUNT(H7:H41)) ), "—")</f>
        <v>0.39860250794399565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59.011792610000001</v>
      </c>
      <c r="F46" s="16">
        <v>1.46516153</v>
      </c>
      <c r="G46" s="14">
        <v>40.988207389999999</v>
      </c>
      <c r="H46" s="16">
        <v>1.46516153</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56.13564891</v>
      </c>
      <c r="F47" s="16">
        <v>2.4013252700000001</v>
      </c>
      <c r="G47" s="14">
        <v>43.86435109</v>
      </c>
      <c r="H47" s="16">
        <v>2.4013252700000001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48.760372279999999</v>
      </c>
      <c r="F48" s="16">
        <v>2.59498235</v>
      </c>
      <c r="G48" s="14">
        <v>51.239627720000001</v>
      </c>
      <c r="H48" s="16">
        <v>2.59498235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54.681229170000002</v>
      </c>
      <c r="F50" s="16">
        <v>2.20338178</v>
      </c>
      <c r="G50" s="14">
        <v>45.318770829999998</v>
      </c>
      <c r="H50" s="16">
        <v>2.20338178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54.50151039</v>
      </c>
      <c r="F51" s="16">
        <v>2.3813654500000001</v>
      </c>
      <c r="G51" s="14">
        <v>45.49848961</v>
      </c>
      <c r="H51" s="16">
        <v>2.3813654500000001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58.665674950000003</v>
      </c>
      <c r="F52" s="16">
        <v>2.2716998300000002</v>
      </c>
      <c r="G52" s="14">
        <v>41.334325049999997</v>
      </c>
      <c r="H52" s="16">
        <v>2.2716998300000002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54.364481429999998</v>
      </c>
      <c r="F53" s="16">
        <v>2.10506488</v>
      </c>
      <c r="G53" s="14">
        <v>45.635518570000002</v>
      </c>
      <c r="H53" s="16">
        <v>2.10506488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35.903001209999999</v>
      </c>
      <c r="F56" s="16">
        <v>2.1428705199999998</v>
      </c>
      <c r="G56" s="14">
        <v>64.096998790000001</v>
      </c>
      <c r="H56" s="16">
        <v>2.1428705199999998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51.927189480000003</v>
      </c>
      <c r="F61" s="16">
        <v>2.4753389299999999</v>
      </c>
      <c r="G61" s="14">
        <v>48.072810519999997</v>
      </c>
      <c r="H61" s="16">
        <v>2.4753389299999999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38.268286109999998</v>
      </c>
      <c r="F62" s="16">
        <v>2.35251184</v>
      </c>
      <c r="G62" s="14">
        <v>61.731713890000002</v>
      </c>
      <c r="H62" s="16">
        <v>2.35251184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63.783959869999997</v>
      </c>
      <c r="F66" s="16">
        <v>2.2811254500000002</v>
      </c>
      <c r="G66" s="14">
        <v>36.216040130000003</v>
      </c>
      <c r="H66" s="16">
        <v>2.2811254500000002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62.356419950000003</v>
      </c>
      <c r="F67" s="16">
        <v>2.3298457099999998</v>
      </c>
      <c r="G67" s="14">
        <v>37.643580049999997</v>
      </c>
      <c r="H67" s="16">
        <v>2.3298457099999998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50.03620342</v>
      </c>
      <c r="F70" s="16">
        <v>2.46210781</v>
      </c>
      <c r="G70" s="14">
        <v>49.96379658</v>
      </c>
      <c r="H70" s="16">
        <v>2.46210781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45.126633349999999</v>
      </c>
      <c r="F72" s="16">
        <v>2.1457729099999998</v>
      </c>
      <c r="G72" s="14">
        <v>54.873366650000001</v>
      </c>
      <c r="H72" s="16">
        <v>2.1457729099999998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56.570579840000001</v>
      </c>
      <c r="F73" s="16">
        <v>2.44095131</v>
      </c>
      <c r="G73" s="14">
        <v>43.429420159999999</v>
      </c>
      <c r="H73" s="16">
        <v>2.44095131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67.233936959999994</v>
      </c>
      <c r="F75" s="16">
        <v>2.3016083200000002</v>
      </c>
      <c r="G75" s="14">
        <v>32.766063039999999</v>
      </c>
      <c r="H75" s="16">
        <v>2.3016083200000002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57.035592680000001</v>
      </c>
      <c r="F76" s="16">
        <v>1.6734704899999999</v>
      </c>
      <c r="G76" s="14">
        <v>42.964407319999999</v>
      </c>
      <c r="H76" s="16">
        <v>1.6734704899999999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48.335527949999999</v>
      </c>
      <c r="F77" s="16">
        <v>2.39494965</v>
      </c>
      <c r="G77" s="14">
        <v>51.664472050000001</v>
      </c>
      <c r="H77" s="16">
        <v>2.39494965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61.057195149999998</v>
      </c>
      <c r="F81" s="16">
        <v>2.3950060999999998</v>
      </c>
      <c r="G81" s="14">
        <v>38.942804850000002</v>
      </c>
      <c r="H81" s="16">
        <v>2.3950060999999998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3564</v>
      </c>
      <c r="C8" s="14">
        <f>(2931/B8*100)</f>
        <v>82.239057239057232</v>
      </c>
      <c r="D8" s="15">
        <v>633</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4899</v>
      </c>
      <c r="C9" s="14">
        <f>(4118/B9*100)</f>
        <v>84.05797101449275</v>
      </c>
      <c r="D9" s="15">
        <v>781</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10036</v>
      </c>
      <c r="C10" s="14">
        <f>(8320/B10*100)</f>
        <v>82.901554404145074</v>
      </c>
      <c r="D10" s="15">
        <v>1716</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3553</v>
      </c>
      <c r="C11" s="14">
        <f>(2936/B11*100)</f>
        <v>82.63439347030679</v>
      </c>
      <c r="D11" s="15">
        <v>617</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3472</v>
      </c>
      <c r="C12" s="14">
        <f>(2868/B12*100)</f>
        <v>82.603686635944698</v>
      </c>
      <c r="D12" s="15">
        <v>604</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(2983/B13*100)</f>
        <v>83.815678561393653</v>
      </c>
      <c r="D13" s="15">
        <v>576</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2799</v>
      </c>
      <c r="C14" s="14">
        <f>(2315/B14*100)</f>
        <v>82.708110039299754</v>
      </c>
      <c r="D14" s="15">
        <v>484</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3019</v>
      </c>
      <c r="C15" s="14">
        <f>(2520/B15*100)</f>
        <v>83.471348128519367</v>
      </c>
      <c r="D15" s="15">
        <v>499</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2997</v>
      </c>
      <c r="C16" s="14">
        <f>(2485/B16*100)</f>
        <v>82.916249582916251</v>
      </c>
      <c r="D16" s="15">
        <v>512</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3307</v>
      </c>
      <c r="C17" s="14">
        <f>(2765/B17*100)</f>
        <v>83.61052313274871</v>
      </c>
      <c r="D17" s="15">
        <v>542</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2826</v>
      </c>
      <c r="C18" s="14">
        <f>(2334/B18*100)</f>
        <v>82.590233545647564</v>
      </c>
      <c r="D18" s="15">
        <v>492</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2808</v>
      </c>
      <c r="C19" s="14">
        <f>(2331/B19*100)</f>
        <v>83.012820512820511</v>
      </c>
      <c r="D19" s="15">
        <v>477</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1630</v>
      </c>
      <c r="C20" s="14">
        <f>(1345/B20*100)</f>
        <v>82.515337423312886</v>
      </c>
      <c r="D20" s="15">
        <v>285</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5791</v>
      </c>
      <c r="C23" s="14">
        <f>(4806/B23*100)</f>
        <v>82.99084786738041</v>
      </c>
      <c r="D23" s="15">
        <v>985</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3338</v>
      </c>
      <c r="C24" s="14">
        <f>(2746/B24*100)</f>
        <v>82.264829239065307</v>
      </c>
      <c r="D24" s="15">
        <v>592</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2912</v>
      </c>
      <c r="C25" s="14">
        <f>(2406/B25*100)</f>
        <v>82.623626373626365</v>
      </c>
      <c r="D25" s="15">
        <v>506</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2450</v>
      </c>
      <c r="C26" s="14">
        <f>(2009/B26*100)</f>
        <v>82</v>
      </c>
      <c r="D26" s="15">
        <v>441</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2616</v>
      </c>
      <c r="C27" s="14">
        <f>(2157/B27*100)</f>
        <v>82.454128440366972</v>
      </c>
      <c r="D27" s="15">
        <v>459</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3765</v>
      </c>
      <c r="C28" s="14">
        <f>(3122/B28*100)</f>
        <v>82.921646746347946</v>
      </c>
      <c r="D28" s="15">
        <v>643</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2685</v>
      </c>
      <c r="C29" s="14">
        <f>(2224/B29*100)</f>
        <v>82.830540037243949</v>
      </c>
      <c r="D29" s="15">
        <v>461</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2263</v>
      </c>
      <c r="C30" s="14">
        <f>(1867/B30*100)</f>
        <v>82.501104728236854</v>
      </c>
      <c r="D30" s="15">
        <v>396</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2750</v>
      </c>
      <c r="C31" s="14">
        <f>(2289/B31*100)</f>
        <v>83.236363636363649</v>
      </c>
      <c r="D31" s="15">
        <v>461</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3315</v>
      </c>
      <c r="C34" s="14">
        <f>(2746/B34*100)</f>
        <v>82.835595776772251</v>
      </c>
      <c r="D34" s="15">
        <v>569</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3505</v>
      </c>
      <c r="C35" s="14">
        <f>(2904/B35*100)</f>
        <v>82.853067047075598</v>
      </c>
      <c r="D35" s="15">
        <v>601</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3332</v>
      </c>
      <c r="C36" s="14">
        <f>(2758/B36*100)</f>
        <v>82.773109243697476</v>
      </c>
      <c r="D36" s="15">
        <v>574</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2727</v>
      </c>
      <c r="C37" s="14">
        <f>(2260/B37*100)</f>
        <v>82.874954162082872</v>
      </c>
      <c r="D37" s="15">
        <v>467</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(5958/B40*100)</f>
        <v>82.349689011748453</v>
      </c>
      <c r="D40" s="15">
        <v>1277</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2858</v>
      </c>
      <c r="C41" s="14">
        <f>(2389/B41*100)</f>
        <v>83.589923023093064</v>
      </c>
      <c r="D41" s="15">
        <v>469</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3105</v>
      </c>
      <c r="C47" s="14">
        <f>(2564/B47*100)</f>
        <v>82.576489533011284</v>
      </c>
      <c r="D47" s="15">
        <v>541</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5159</v>
      </c>
      <c r="C48" s="14">
        <f>(4286/B48*100)</f>
        <v>83.078115913936813</v>
      </c>
      <c r="D48" s="15">
        <v>873</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3372</v>
      </c>
      <c r="C51" s="14">
        <f>(2870/B51*100)</f>
        <v>85.112692763938313</v>
      </c>
      <c r="D51" s="15">
        <v>502</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2796</v>
      </c>
      <c r="C52" s="14">
        <f>(2306/B52*100)</f>
        <v>82.474964234620884</v>
      </c>
      <c r="D52" s="15">
        <v>490</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(2332/B53*100)</f>
        <v>82.959800782639633</v>
      </c>
      <c r="D53" s="15">
        <v>479</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2246</v>
      </c>
      <c r="C62" s="14">
        <f>(1856/B62*100)</f>
        <v>82.635796972395369</v>
      </c>
      <c r="D62" s="15">
        <v>390</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3511</v>
      </c>
      <c r="C67" s="14">
        <f>(2943/B67*100)</f>
        <v>83.822272856735964</v>
      </c>
      <c r="D67" s="15">
        <v>568</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3597</v>
      </c>
      <c r="C73" s="14">
        <f>(2981/B73*100)</f>
        <v>82.874617737003049</v>
      </c>
      <c r="D73" s="15">
        <v>616</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7052</v>
      </c>
      <c r="C76" s="14">
        <f>(5869/B76*100)</f>
        <v>83.224617129892238</v>
      </c>
      <c r="D76" s="15">
        <v>1183</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2908</v>
      </c>
      <c r="C77" s="14">
        <f>(2391/B77*100)</f>
        <v>82.221458046767538</v>
      </c>
      <c r="D77" s="15">
        <v>517</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60.919870750000001</v>
      </c>
      <c r="F7" s="16">
        <v>1.69657495</v>
      </c>
      <c r="G7" s="14">
        <v>39.080129249999999</v>
      </c>
      <c r="H7" s="16">
        <v>1.69657495</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62.24954803</v>
      </c>
      <c r="F8" s="16">
        <v>2.28090693</v>
      </c>
      <c r="G8" s="14">
        <v>37.75045197</v>
      </c>
      <c r="H8" s="16">
        <v>2.28090693</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66.383045129999999</v>
      </c>
      <c r="F9" s="16">
        <v>1.7666600699999999</v>
      </c>
      <c r="G9" s="14">
        <v>33.616954870000001</v>
      </c>
      <c r="H9" s="16">
        <v>1.7666600699999999</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57.490851399999997</v>
      </c>
      <c r="F10" s="16">
        <v>1.8440551599999999</v>
      </c>
      <c r="G10" s="14">
        <v>42.509148600000003</v>
      </c>
      <c r="H10" s="16">
        <v>1.8440551599999999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75.552054819999995</v>
      </c>
      <c r="F11" s="16">
        <v>1.8874430200000001</v>
      </c>
      <c r="G11" s="14">
        <v>24.447945180000001</v>
      </c>
      <c r="H11" s="16">
        <v>1.8874430200000001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69.675973089999999</v>
      </c>
      <c r="F12" s="16">
        <v>1.80437168</v>
      </c>
      <c r="G12" s="14">
        <v>30.324026910000001</v>
      </c>
      <c r="H12" s="16">
        <v>1.80437168</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65.119356620000005</v>
      </c>
      <c r="F13" s="16">
        <v>2.3005973599999998</v>
      </c>
      <c r="G13" s="14">
        <v>34.880643380000002</v>
      </c>
      <c r="H13" s="16">
        <v>2.3005973599999998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65.793675140000005</v>
      </c>
      <c r="F14" s="16">
        <v>2.4878972099999999</v>
      </c>
      <c r="G14" s="14">
        <v>34.206324860000002</v>
      </c>
      <c r="H14" s="16">
        <v>2.4878972099999999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62.137388790000003</v>
      </c>
      <c r="F15" s="16">
        <v>2.1976052099999999</v>
      </c>
      <c r="G15" s="14">
        <v>37.862611209999997</v>
      </c>
      <c r="H15" s="16">
        <v>2.1976052099999999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68.819093379999998</v>
      </c>
      <c r="F16" s="16">
        <v>1.78394666</v>
      </c>
      <c r="G16" s="14">
        <v>31.180906619999998</v>
      </c>
      <c r="H16" s="16">
        <v>1.78394666</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64.162912599999999</v>
      </c>
      <c r="F17" s="16">
        <v>2.2114289999999999</v>
      </c>
      <c r="G17" s="14">
        <v>35.837087400000001</v>
      </c>
      <c r="H17" s="16">
        <v>2.2114289999999999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81.308618559999999</v>
      </c>
      <c r="F18" s="16">
        <v>1.94523618</v>
      </c>
      <c r="G18" s="14">
        <v>18.691381440000001</v>
      </c>
      <c r="H18" s="16">
        <v>1.94523618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74.541710910000006</v>
      </c>
      <c r="F19" s="16">
        <v>2.0122906999999999</v>
      </c>
      <c r="G19" s="14">
        <v>25.458289090000001</v>
      </c>
      <c r="H19" s="16">
        <v>2.0122906999999999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62.551050269999998</v>
      </c>
      <c r="F20" s="16">
        <v>2.4852048799999999</v>
      </c>
      <c r="G20" s="14">
        <v>37.448949730000002</v>
      </c>
      <c r="H20" s="16">
        <v>2.4852048799999999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76.84556173</v>
      </c>
      <c r="F22" s="16">
        <v>1.9787779999999999</v>
      </c>
      <c r="G22" s="14">
        <v>23.15443827</v>
      </c>
      <c r="H22" s="16">
        <v>1.9787779999999999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71.795898120000004</v>
      </c>
      <c r="F23" s="16">
        <v>2.0871119500000002</v>
      </c>
      <c r="G23" s="14">
        <v>28.20410188</v>
      </c>
      <c r="H23" s="16">
        <v>2.0871119500000002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66.118033990000001</v>
      </c>
      <c r="F24" s="16">
        <v>2.0743181100000001</v>
      </c>
      <c r="G24" s="14">
        <v>33.881966009999999</v>
      </c>
      <c r="H24" s="16">
        <v>2.0743181100000001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76.441684809999998</v>
      </c>
      <c r="F25" s="16">
        <v>1.96822852</v>
      </c>
      <c r="G25" s="14">
        <v>23.558315189999998</v>
      </c>
      <c r="H25" s="16">
        <v>1.96822852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74.673525510000005</v>
      </c>
      <c r="F26" s="16">
        <v>1.7953598500000001</v>
      </c>
      <c r="G26" s="14">
        <v>25.326474489999999</v>
      </c>
      <c r="H26" s="16">
        <v>1.7953598500000001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66.257000899999994</v>
      </c>
      <c r="F27" s="16">
        <v>2.49287232</v>
      </c>
      <c r="G27" s="14">
        <v>33.742999099999999</v>
      </c>
      <c r="H27" s="16">
        <v>2.49287232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85.581334319999996</v>
      </c>
      <c r="F28" s="16">
        <v>1.7666710400000001</v>
      </c>
      <c r="G28" s="14">
        <v>14.41866568</v>
      </c>
      <c r="H28" s="16">
        <v>1.7666710400000001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62.042572249999999</v>
      </c>
      <c r="F29" s="16">
        <v>2.35620677</v>
      </c>
      <c r="G29" s="14">
        <v>37.957427750000001</v>
      </c>
      <c r="H29" s="16">
        <v>2.35620677</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59.387532849999999</v>
      </c>
      <c r="F30" s="16">
        <v>2.8970472200000001</v>
      </c>
      <c r="G30" s="14">
        <v>40.612467150000001</v>
      </c>
      <c r="H30" s="16">
        <v>2.8970472200000001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66.663008239999996</v>
      </c>
      <c r="F31" s="16">
        <v>2.1160405199999999</v>
      </c>
      <c r="G31" s="14">
        <v>33.336991759999997</v>
      </c>
      <c r="H31" s="16">
        <v>2.1160405199999999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73.149357010000003</v>
      </c>
      <c r="F33" s="16">
        <v>2.1546373600000002</v>
      </c>
      <c r="G33" s="14">
        <v>26.850642990000001</v>
      </c>
      <c r="H33" s="16">
        <v>2.1546373600000002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74.345779489999998</v>
      </c>
      <c r="F34" s="16">
        <v>1.71210529</v>
      </c>
      <c r="G34" s="14">
        <v>25.654220509999998</v>
      </c>
      <c r="H34" s="16">
        <v>1.71210529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68.980307719999999</v>
      </c>
      <c r="F35" s="16">
        <v>2.19166887</v>
      </c>
      <c r="G35" s="14">
        <v>31.019692280000001</v>
      </c>
      <c r="H35" s="16">
        <v>2.19166887</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71.114113099999997</v>
      </c>
      <c r="F36" s="16">
        <v>1.78226431</v>
      </c>
      <c r="G36" s="14">
        <v>28.885886899999999</v>
      </c>
      <c r="H36" s="16">
        <v>1.78226431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67.126537479999996</v>
      </c>
      <c r="F37" s="16">
        <v>2.14292645</v>
      </c>
      <c r="G37" s="14">
        <v>32.873462519999997</v>
      </c>
      <c r="H37" s="16">
        <v>2.14292645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88.588244489999994</v>
      </c>
      <c r="F39" s="16">
        <v>1.49325478</v>
      </c>
      <c r="G39" s="14">
        <v>11.411755510000001</v>
      </c>
      <c r="H39" s="16">
        <v>1.49325478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66.050241499999998</v>
      </c>
      <c r="F40" s="16">
        <v>1.9481911599999999</v>
      </c>
      <c r="G40" s="14">
        <v>33.949758500000002</v>
      </c>
      <c r="H40" s="16">
        <v>1.9481911599999999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68.767232230000005</v>
      </c>
      <c r="F41" s="16">
        <v>2.46309618</v>
      </c>
      <c r="G41" s="14">
        <v>31.232767769999999</v>
      </c>
      <c r="H41" s="16">
        <v>2.46309618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69.394784850937498</v>
      </c>
      <c r="F42" s="16">
        <f>IF(COUNT(F7:F41) &gt; 0, SQRT(SUMSQ(F7:F41)/(COUNT(F7:F41)*COUNT(F7:F41)) ), "—")</f>
        <v>0.36907061981080552</v>
      </c>
      <c r="G42" s="14">
        <f>IF(COUNT(G7:G41) &gt; 0, AVERAGE(G7:G41), "—")</f>
        <v>30.605215149062502</v>
      </c>
      <c r="H42" s="16">
        <f>IF(COUNT(H7:H41) &gt; 0, SQRT(SUMSQ(H7:H41)/(COUNT(H7:H41)*COUNT(H7:H41)) ), "—")</f>
        <v>0.36907061981080552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83.637983719999994</v>
      </c>
      <c r="F46" s="16">
        <v>1.2470735399999999</v>
      </c>
      <c r="G46" s="14">
        <v>16.362016279999999</v>
      </c>
      <c r="H46" s="16">
        <v>1.2470735399999999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81.803234579999994</v>
      </c>
      <c r="F47" s="16">
        <v>1.8563033900000001</v>
      </c>
      <c r="G47" s="14">
        <v>18.196765419999998</v>
      </c>
      <c r="H47" s="16">
        <v>1.8563033900000001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73.811017579999998</v>
      </c>
      <c r="F48" s="16">
        <v>1.7285729999999999</v>
      </c>
      <c r="G48" s="14">
        <v>26.188982419999999</v>
      </c>
      <c r="H48" s="16">
        <v>1.7285729999999999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80.302165540000004</v>
      </c>
      <c r="F50" s="16">
        <v>1.6653124699999999</v>
      </c>
      <c r="G50" s="14">
        <v>19.697834459999999</v>
      </c>
      <c r="H50" s="16">
        <v>1.6653124699999999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83.077414860000005</v>
      </c>
      <c r="F51" s="16">
        <v>1.6755458000000001</v>
      </c>
      <c r="G51" s="14">
        <v>16.922585139999999</v>
      </c>
      <c r="H51" s="16">
        <v>1.6755458000000001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81.661433700000003</v>
      </c>
      <c r="F52" s="16">
        <v>1.79183402</v>
      </c>
      <c r="G52" s="14">
        <v>18.3385663</v>
      </c>
      <c r="H52" s="16">
        <v>1.79183402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79.453565620000006</v>
      </c>
      <c r="F53" s="16">
        <v>1.7112127699999999</v>
      </c>
      <c r="G53" s="14">
        <v>20.546434380000001</v>
      </c>
      <c r="H53" s="16">
        <v>1.7112127699999999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58.732156170000003</v>
      </c>
      <c r="F56" s="16">
        <v>2.0268730599999998</v>
      </c>
      <c r="G56" s="14">
        <v>41.267843829999997</v>
      </c>
      <c r="H56" s="16">
        <v>2.0268730599999998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73.620165600000007</v>
      </c>
      <c r="F61" s="16">
        <v>2.4644487499999999</v>
      </c>
      <c r="G61" s="14">
        <v>26.3798344</v>
      </c>
      <c r="H61" s="16">
        <v>2.4644487499999999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63.586146769999999</v>
      </c>
      <c r="F62" s="16">
        <v>2.5280361099999999</v>
      </c>
      <c r="G62" s="14">
        <v>36.413853230000001</v>
      </c>
      <c r="H62" s="16">
        <v>2.5280361099999999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88.570995580000002</v>
      </c>
      <c r="F66" s="16">
        <v>1.7284055599999999</v>
      </c>
      <c r="G66" s="14">
        <v>11.42900442</v>
      </c>
      <c r="H66" s="16">
        <v>1.7284055599999999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78.839661399999997</v>
      </c>
      <c r="F67" s="16">
        <v>1.87031725</v>
      </c>
      <c r="G67" s="14">
        <v>21.160338599999999</v>
      </c>
      <c r="H67" s="16">
        <v>1.87031725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76.742743360000006</v>
      </c>
      <c r="F70" s="16">
        <v>1.92455902</v>
      </c>
      <c r="G70" s="14">
        <v>23.257256640000001</v>
      </c>
      <c r="H70" s="16">
        <v>1.92455902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66.641459789999999</v>
      </c>
      <c r="F72" s="16">
        <v>1.93810807</v>
      </c>
      <c r="G72" s="14">
        <v>33.358540210000001</v>
      </c>
      <c r="H72" s="16">
        <v>1.93810807</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86.222133990000003</v>
      </c>
      <c r="F73" s="16">
        <v>1.83883986</v>
      </c>
      <c r="G73" s="14">
        <v>13.77786601</v>
      </c>
      <c r="H73" s="16">
        <v>1.83883986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89.513779839999998</v>
      </c>
      <c r="F75" s="16">
        <v>1.67998662</v>
      </c>
      <c r="G75" s="14">
        <v>10.48622016</v>
      </c>
      <c r="H75" s="16">
        <v>1.67998662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83.022262620000006</v>
      </c>
      <c r="F76" s="16">
        <v>1.4518878399999999</v>
      </c>
      <c r="G76" s="14">
        <v>16.977737380000001</v>
      </c>
      <c r="H76" s="16">
        <v>1.4518878399999999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72.357395670000002</v>
      </c>
      <c r="F77" s="16">
        <v>2.1179593799999998</v>
      </c>
      <c r="G77" s="14">
        <v>27.642604330000001</v>
      </c>
      <c r="H77" s="16">
        <v>2.1179593799999998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86.583682350000004</v>
      </c>
      <c r="F81" s="16">
        <v>1.66697677</v>
      </c>
      <c r="G81" s="14">
        <v>13.41631765</v>
      </c>
      <c r="H81" s="16">
        <v>1.66697677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15.034407440000001</v>
      </c>
      <c r="F7" s="16">
        <v>1.0612520599999999</v>
      </c>
      <c r="G7" s="14">
        <v>84.965592560000005</v>
      </c>
      <c r="H7" s="16">
        <v>1.0612520599999999</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18.394796889999999</v>
      </c>
      <c r="F8" s="16">
        <v>1.852582</v>
      </c>
      <c r="G8" s="14">
        <v>81.605203110000005</v>
      </c>
      <c r="H8" s="16">
        <v>1.852582</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19.04426672</v>
      </c>
      <c r="F9" s="16">
        <v>1.53134058</v>
      </c>
      <c r="G9" s="14">
        <v>80.955733280000004</v>
      </c>
      <c r="H9" s="16">
        <v>1.53134058</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18.009296939999999</v>
      </c>
      <c r="F10" s="16">
        <v>1.24636105</v>
      </c>
      <c r="G10" s="14">
        <v>81.990703060000001</v>
      </c>
      <c r="H10" s="16">
        <v>1.24636105</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23.660584709999998</v>
      </c>
      <c r="F11" s="16">
        <v>1.9882826199999999</v>
      </c>
      <c r="G11" s="14">
        <v>76.339415290000005</v>
      </c>
      <c r="H11" s="16">
        <v>1.9882826199999999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16.45566204</v>
      </c>
      <c r="F12" s="16">
        <v>1.4955351800000001</v>
      </c>
      <c r="G12" s="14">
        <v>83.544337959999993</v>
      </c>
      <c r="H12" s="16">
        <v>1.4955351800000001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16.77943234</v>
      </c>
      <c r="F13" s="16">
        <v>1.78619649</v>
      </c>
      <c r="G13" s="14">
        <v>83.22056766</v>
      </c>
      <c r="H13" s="16">
        <v>1.78619649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13.582742489999999</v>
      </c>
      <c r="F14" s="16">
        <v>1.5509280999999999</v>
      </c>
      <c r="G14" s="14">
        <v>86.417257509999999</v>
      </c>
      <c r="H14" s="16">
        <v>1.5509280999999999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17.064081430000002</v>
      </c>
      <c r="F15" s="16">
        <v>1.64144219</v>
      </c>
      <c r="G15" s="14">
        <v>82.935918569999998</v>
      </c>
      <c r="H15" s="16">
        <v>1.64144219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20.873994570000001</v>
      </c>
      <c r="F16" s="16">
        <v>2.03812617</v>
      </c>
      <c r="G16" s="14">
        <v>79.126005430000006</v>
      </c>
      <c r="H16" s="16">
        <v>2.03812617</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16.771485420000001</v>
      </c>
      <c r="F17" s="16">
        <v>1.8282588099999999</v>
      </c>
      <c r="G17" s="14">
        <v>83.228514579999995</v>
      </c>
      <c r="H17" s="16">
        <v>1.8282588099999999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27.61951861</v>
      </c>
      <c r="F18" s="16">
        <v>2.2775469699999999</v>
      </c>
      <c r="G18" s="14">
        <v>72.38048139</v>
      </c>
      <c r="H18" s="16">
        <v>2.2775469699999999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16.74111285</v>
      </c>
      <c r="F19" s="16">
        <v>1.68584</v>
      </c>
      <c r="G19" s="14">
        <v>83.258887150000007</v>
      </c>
      <c r="H19" s="16">
        <v>1.68584</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23.600158390000001</v>
      </c>
      <c r="F20" s="16">
        <v>2.3218387100000002</v>
      </c>
      <c r="G20" s="14">
        <v>76.399841609999996</v>
      </c>
      <c r="H20" s="16">
        <v>2.3218387100000002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31.346841260000001</v>
      </c>
      <c r="F22" s="16">
        <v>2.0066069899999999</v>
      </c>
      <c r="G22" s="14">
        <v>68.653158739999995</v>
      </c>
      <c r="H22" s="16">
        <v>2.0066069899999999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18.244973659999999</v>
      </c>
      <c r="F23" s="16">
        <v>1.9858876599999999</v>
      </c>
      <c r="G23" s="14">
        <v>81.755026340000001</v>
      </c>
      <c r="H23" s="16">
        <v>1.9858876599999999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14.44012242</v>
      </c>
      <c r="F24" s="16">
        <v>1.7604001899999999</v>
      </c>
      <c r="G24" s="14">
        <v>85.559877580000006</v>
      </c>
      <c r="H24" s="16">
        <v>1.7604001899999999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19.261907489999999</v>
      </c>
      <c r="F25" s="16">
        <v>1.695068</v>
      </c>
      <c r="G25" s="14">
        <v>80.738092510000001</v>
      </c>
      <c r="H25" s="16">
        <v>1.695068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22.489678189999999</v>
      </c>
      <c r="F26" s="16">
        <v>2.05786611</v>
      </c>
      <c r="G26" s="14">
        <v>77.510321809999994</v>
      </c>
      <c r="H26" s="16">
        <v>2.05786611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19.107292609999998</v>
      </c>
      <c r="F27" s="16">
        <v>1.81693112</v>
      </c>
      <c r="G27" s="14">
        <v>80.892707389999998</v>
      </c>
      <c r="H27" s="16">
        <v>1.81693112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23.800745259999999</v>
      </c>
      <c r="F28" s="16">
        <v>1.9517225</v>
      </c>
      <c r="G28" s="14">
        <v>76.199254740000001</v>
      </c>
      <c r="H28" s="16">
        <v>1.9517225</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16.0838231</v>
      </c>
      <c r="F29" s="16">
        <v>1.8779170999999999</v>
      </c>
      <c r="G29" s="14">
        <v>83.916176899999996</v>
      </c>
      <c r="H29" s="16">
        <v>1.8779170999999999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15.34002723</v>
      </c>
      <c r="F30" s="16">
        <v>1.8418385100000001</v>
      </c>
      <c r="G30" s="14">
        <v>84.659972769999996</v>
      </c>
      <c r="H30" s="16">
        <v>1.8418385100000001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20.539897969999998</v>
      </c>
      <c r="F31" s="16">
        <v>2.0013672300000001</v>
      </c>
      <c r="G31" s="14">
        <v>79.460102030000002</v>
      </c>
      <c r="H31" s="16">
        <v>2.0013672300000001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20.322564870000001</v>
      </c>
      <c r="F33" s="16">
        <v>1.9507691300000001</v>
      </c>
      <c r="G33" s="14">
        <v>79.677435130000006</v>
      </c>
      <c r="H33" s="16">
        <v>1.9507691300000001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26.008446060000001</v>
      </c>
      <c r="F34" s="16">
        <v>1.80737595</v>
      </c>
      <c r="G34" s="14">
        <v>73.991553940000003</v>
      </c>
      <c r="H34" s="16">
        <v>1.80737595</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25.107907650000001</v>
      </c>
      <c r="F35" s="16">
        <v>2.0880355900000001</v>
      </c>
      <c r="G35" s="14">
        <v>74.892092349999999</v>
      </c>
      <c r="H35" s="16">
        <v>2.0880355900000001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20.637665739999999</v>
      </c>
      <c r="F36" s="16">
        <v>1.8178658400000001</v>
      </c>
      <c r="G36" s="14">
        <v>79.362334259999997</v>
      </c>
      <c r="H36" s="16">
        <v>1.8178658400000001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20.376036559999999</v>
      </c>
      <c r="F37" s="16">
        <v>2.06373052</v>
      </c>
      <c r="G37" s="14">
        <v>79.623963439999997</v>
      </c>
      <c r="H37" s="16">
        <v>2.06373052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25.881103599999999</v>
      </c>
      <c r="F39" s="16">
        <v>2.4714123099999998</v>
      </c>
      <c r="G39" s="14">
        <v>74.118896399999997</v>
      </c>
      <c r="H39" s="16">
        <v>2.4714123099999998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19.03660653</v>
      </c>
      <c r="F40" s="16">
        <v>1.89683797</v>
      </c>
      <c r="G40" s="14">
        <v>80.96339347</v>
      </c>
      <c r="H40" s="16">
        <v>1.89683797</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14.636010300000001</v>
      </c>
      <c r="F41" s="16">
        <v>1.80919137</v>
      </c>
      <c r="G41" s="14">
        <v>85.363989700000005</v>
      </c>
      <c r="H41" s="16">
        <v>1.80919137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19.884162229374994</v>
      </c>
      <c r="F42" s="16">
        <f>IF(COUNT(F7:F41) &gt; 0, SQRT(SUMSQ(F7:F41)/(COUNT(F7:F41)*COUNT(F7:F41)) ), "—")</f>
        <v>0.3307785196167185</v>
      </c>
      <c r="G42" s="14">
        <f>IF(COUNT(G7:G41) &gt; 0, AVERAGE(G7:G41), "—")</f>
        <v>80.115837770624992</v>
      </c>
      <c r="H42" s="16">
        <f>IF(COUNT(H7:H41) &gt; 0, SQRT(SUMSQ(H7:H41)/(COUNT(H7:H41)*COUNT(H7:H41)) ), "—")</f>
        <v>0.3307785196167185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29.69057785</v>
      </c>
      <c r="F46" s="16">
        <v>1.5415945600000001</v>
      </c>
      <c r="G46" s="14">
        <v>70.309422150000003</v>
      </c>
      <c r="H46" s="16">
        <v>1.5415945600000001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27.18790912</v>
      </c>
      <c r="F47" s="16">
        <v>1.91904915</v>
      </c>
      <c r="G47" s="14">
        <v>72.81209088</v>
      </c>
      <c r="H47" s="16">
        <v>1.91904915</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18.554441359999998</v>
      </c>
      <c r="F48" s="16">
        <v>1.6900012</v>
      </c>
      <c r="G48" s="14">
        <v>81.445558640000002</v>
      </c>
      <c r="H48" s="16">
        <v>1.6900012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28.310927459999998</v>
      </c>
      <c r="F50" s="16">
        <v>1.9025694500000001</v>
      </c>
      <c r="G50" s="14">
        <v>71.689072539999998</v>
      </c>
      <c r="H50" s="16">
        <v>1.9025694500000001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19.906299619999999</v>
      </c>
      <c r="F51" s="16">
        <v>1.6996361499999999</v>
      </c>
      <c r="G51" s="14">
        <v>80.093700380000001</v>
      </c>
      <c r="H51" s="16">
        <v>1.6996361499999999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25.330775920000001</v>
      </c>
      <c r="F52" s="16">
        <v>2.0679764199999999</v>
      </c>
      <c r="G52" s="14">
        <v>74.669224080000006</v>
      </c>
      <c r="H52" s="16">
        <v>2.0679764199999999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31.24905884</v>
      </c>
      <c r="F53" s="16">
        <v>2.34698977</v>
      </c>
      <c r="G53" s="14">
        <v>68.750941159999996</v>
      </c>
      <c r="H53" s="16">
        <v>2.34698977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27.106579719999999</v>
      </c>
      <c r="F56" s="16">
        <v>2.2247618999999998</v>
      </c>
      <c r="G56" s="14">
        <v>72.893420280000001</v>
      </c>
      <c r="H56" s="16">
        <v>2.2247618999999998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17.26165224</v>
      </c>
      <c r="F61" s="16">
        <v>1.8180887800000001</v>
      </c>
      <c r="G61" s="14">
        <v>82.738347759999996</v>
      </c>
      <c r="H61" s="16">
        <v>1.8180887800000001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24.09275942</v>
      </c>
      <c r="F62" s="16">
        <v>2.2133313800000001</v>
      </c>
      <c r="G62" s="14">
        <v>75.907240580000007</v>
      </c>
      <c r="H62" s="16">
        <v>2.2133313800000001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27.260441289999999</v>
      </c>
      <c r="F66" s="16">
        <v>2.25548795</v>
      </c>
      <c r="G66" s="14">
        <v>72.739558709999997</v>
      </c>
      <c r="H66" s="16">
        <v>2.25548795</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28.108697490000001</v>
      </c>
      <c r="F67" s="16">
        <v>2.0737614299999998</v>
      </c>
      <c r="G67" s="14">
        <v>71.891302510000003</v>
      </c>
      <c r="H67" s="16">
        <v>2.0737614299999998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17.229985559999999</v>
      </c>
      <c r="F70" s="16">
        <v>1.6179073900000001</v>
      </c>
      <c r="G70" s="14">
        <v>82.770014439999997</v>
      </c>
      <c r="H70" s="16">
        <v>1.6179073900000001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15.74850533</v>
      </c>
      <c r="F72" s="16">
        <v>1.47193033</v>
      </c>
      <c r="G72" s="14">
        <v>84.25149467</v>
      </c>
      <c r="H72" s="16">
        <v>1.47193033</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34.120717329999998</v>
      </c>
      <c r="F73" s="16">
        <v>2.4482697</v>
      </c>
      <c r="G73" s="14">
        <v>65.879282669999995</v>
      </c>
      <c r="H73" s="16">
        <v>2.4482697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37.352996500000003</v>
      </c>
      <c r="F75" s="16">
        <v>2.6894959799999998</v>
      </c>
      <c r="G75" s="14">
        <v>62.647003499999997</v>
      </c>
      <c r="H75" s="16">
        <v>2.6894959799999998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30.29366808</v>
      </c>
      <c r="F76" s="16">
        <v>1.6217746500000001</v>
      </c>
      <c r="G76" s="14">
        <v>69.706331919999997</v>
      </c>
      <c r="H76" s="16">
        <v>1.6217746500000001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30.710647479999999</v>
      </c>
      <c r="F77" s="16">
        <v>2.0371551600000002</v>
      </c>
      <c r="G77" s="14">
        <v>69.289352519999994</v>
      </c>
      <c r="H77" s="16">
        <v>2.0371551600000002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27.9983249</v>
      </c>
      <c r="F81" s="16">
        <v>1.9143779700000001</v>
      </c>
      <c r="G81" s="14">
        <v>72.0016751</v>
      </c>
      <c r="H81" s="16">
        <v>1.9143779700000001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(6115/B7*100)</f>
        <v>83.005293878105064</v>
      </c>
      <c r="D7" s="15">
        <v>1252</v>
      </c>
      <c r="E7" s="14">
        <v>22.189804670000001</v>
      </c>
      <c r="F7" s="16">
        <v>1.52475323</v>
      </c>
      <c r="G7" s="14">
        <v>77.810195329999999</v>
      </c>
      <c r="H7" s="16">
        <v>1.52475323</v>
      </c>
      <c r="I7" s="14" t="s">
        <v>139</v>
      </c>
      <c r="J7" s="16" t="s">
        <v>139</v>
      </c>
      <c r="K7" s="14">
        <v>0</v>
      </c>
      <c r="L7" s="16">
        <v>0</v>
      </c>
      <c r="M7" s="14">
        <v>0</v>
      </c>
      <c r="N7" s="16">
        <v>0</v>
      </c>
      <c r="O7" s="14">
        <v>0</v>
      </c>
      <c r="P7" s="16">
        <v>0</v>
      </c>
      <c r="Q7" s="14">
        <v>0</v>
      </c>
      <c r="R7" s="16">
        <v>0</v>
      </c>
    </row>
    <row r="8" spans="1:18" x14ac:dyDescent="0.25">
      <c r="A8" s="11" t="s">
        <v>140</v>
      </c>
      <c r="B8" s="13">
        <v>3564</v>
      </c>
      <c r="C8" s="14">
        <f>(2931/B8*100)</f>
        <v>82.239057239057232</v>
      </c>
      <c r="D8" s="15">
        <v>633</v>
      </c>
      <c r="E8" s="14">
        <v>23.282455710000001</v>
      </c>
      <c r="F8" s="16">
        <v>1.87856248</v>
      </c>
      <c r="G8" s="14">
        <v>76.717544290000006</v>
      </c>
      <c r="H8" s="16">
        <v>1.87856248</v>
      </c>
      <c r="I8" s="14" t="s">
        <v>139</v>
      </c>
      <c r="J8" s="16" t="s">
        <v>139</v>
      </c>
      <c r="K8" s="14">
        <v>0</v>
      </c>
      <c r="L8" s="16">
        <v>0</v>
      </c>
      <c r="M8" s="14">
        <v>0</v>
      </c>
      <c r="N8" s="16">
        <v>0</v>
      </c>
      <c r="O8" s="14">
        <v>0</v>
      </c>
      <c r="P8" s="16">
        <v>0</v>
      </c>
      <c r="Q8" s="14">
        <v>0</v>
      </c>
      <c r="R8" s="16">
        <v>0</v>
      </c>
    </row>
    <row r="9" spans="1:18" x14ac:dyDescent="0.25">
      <c r="A9" s="11" t="s">
        <v>141</v>
      </c>
      <c r="B9" s="13">
        <v>4899</v>
      </c>
      <c r="C9" s="14">
        <f>(4118/B9*100)</f>
        <v>84.05797101449275</v>
      </c>
      <c r="D9" s="15">
        <v>781</v>
      </c>
      <c r="E9" s="14">
        <v>34.779363500000002</v>
      </c>
      <c r="F9" s="16">
        <v>1.3108015900000001</v>
      </c>
      <c r="G9" s="14">
        <v>65.220636499999998</v>
      </c>
      <c r="H9" s="16">
        <v>1.3108015900000001</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23.45533081</v>
      </c>
      <c r="F10" s="16">
        <v>1.6376186399999999</v>
      </c>
      <c r="G10" s="14">
        <v>76.544669189999993</v>
      </c>
      <c r="H10" s="16">
        <v>1.6376186399999999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(2936/B11*100)</f>
        <v>82.63439347030679</v>
      </c>
      <c r="D11" s="15">
        <v>617</v>
      </c>
      <c r="E11" s="14">
        <v>42.175814780000003</v>
      </c>
      <c r="F11" s="16">
        <v>2.6032237899999999</v>
      </c>
      <c r="G11" s="14">
        <v>57.824185219999997</v>
      </c>
      <c r="H11" s="16">
        <v>2.6032237899999999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27.33868773</v>
      </c>
      <c r="F12" s="16">
        <v>1.9991228400000001</v>
      </c>
      <c r="G12" s="14">
        <v>72.661312269999996</v>
      </c>
      <c r="H12" s="16">
        <v>1.9991228400000001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20.517786919999999</v>
      </c>
      <c r="F13" s="16">
        <v>1.8462619199999999</v>
      </c>
      <c r="G13" s="14">
        <v>79.482213079999994</v>
      </c>
      <c r="H13" s="16">
        <v>1.8462619199999999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(2315/B14*100)</f>
        <v>82.708110039299754</v>
      </c>
      <c r="D14" s="15">
        <v>484</v>
      </c>
      <c r="E14" s="14">
        <v>23.104160060000002</v>
      </c>
      <c r="F14" s="16">
        <v>2.0696313200000001</v>
      </c>
      <c r="G14" s="14">
        <v>76.895839940000002</v>
      </c>
      <c r="H14" s="16">
        <v>2.0696313200000001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(2520/B15*100)</f>
        <v>83.471348128519367</v>
      </c>
      <c r="D15" s="15">
        <v>499</v>
      </c>
      <c r="E15" s="14">
        <v>18.176681200000001</v>
      </c>
      <c r="F15" s="16">
        <v>1.9060442900000001</v>
      </c>
      <c r="G15" s="14">
        <v>81.823318799999996</v>
      </c>
      <c r="H15" s="16">
        <v>1.9060442900000001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(2485/B16*100)</f>
        <v>82.916249582916251</v>
      </c>
      <c r="D16" s="15">
        <v>512</v>
      </c>
      <c r="E16" s="14">
        <v>33.100489269999997</v>
      </c>
      <c r="F16" s="16">
        <v>1.67795117</v>
      </c>
      <c r="G16" s="14">
        <v>66.899510730000003</v>
      </c>
      <c r="H16" s="16">
        <v>1.67795117</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(2765/B17*100)</f>
        <v>83.61052313274871</v>
      </c>
      <c r="D17" s="15">
        <v>542</v>
      </c>
      <c r="E17" s="14">
        <v>20.959713449999999</v>
      </c>
      <c r="F17" s="16">
        <v>1.76391952</v>
      </c>
      <c r="G17" s="14">
        <v>79.040286550000005</v>
      </c>
      <c r="H17" s="16">
        <v>1.76391952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48.227110189999998</v>
      </c>
      <c r="F18" s="16">
        <v>2.4646778399999998</v>
      </c>
      <c r="G18" s="14">
        <v>51.772889810000002</v>
      </c>
      <c r="H18" s="16">
        <v>2.4646778399999998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(2331/B19*100)</f>
        <v>83.012820512820511</v>
      </c>
      <c r="D19" s="15">
        <v>477</v>
      </c>
      <c r="E19" s="14">
        <v>46.376841919999997</v>
      </c>
      <c r="F19" s="16">
        <v>2.2288580599999999</v>
      </c>
      <c r="G19" s="14">
        <v>53.623158080000003</v>
      </c>
      <c r="H19" s="16">
        <v>2.2288580599999999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(1345/B20*100)</f>
        <v>82.515337423312886</v>
      </c>
      <c r="D20" s="15">
        <v>285</v>
      </c>
      <c r="E20" s="14">
        <v>38.647064610000001</v>
      </c>
      <c r="F20" s="16">
        <v>3.0631072399999999</v>
      </c>
      <c r="G20" s="14">
        <v>61.352935389999999</v>
      </c>
      <c r="H20" s="16">
        <v>3.0631072399999999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51.452161529999998</v>
      </c>
      <c r="F22" s="16">
        <v>2.5497190600000001</v>
      </c>
      <c r="G22" s="14">
        <v>48.547838470000002</v>
      </c>
      <c r="H22" s="16">
        <v>2.5497190600000001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(4806/B23*100)</f>
        <v>82.99084786738041</v>
      </c>
      <c r="D23" s="15">
        <v>985</v>
      </c>
      <c r="E23" s="14">
        <v>44.967800269999998</v>
      </c>
      <c r="F23" s="16">
        <v>1.9787213299999999</v>
      </c>
      <c r="G23" s="14">
        <v>55.032199730000002</v>
      </c>
      <c r="H23" s="16">
        <v>1.9787213299999999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15.56189215</v>
      </c>
      <c r="F24" s="16">
        <v>1.6508538800000001</v>
      </c>
      <c r="G24" s="14">
        <v>84.438107849999994</v>
      </c>
      <c r="H24" s="16">
        <v>1.6508538800000001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(2406/B25*100)</f>
        <v>82.623626373626365</v>
      </c>
      <c r="D25" s="15">
        <v>506</v>
      </c>
      <c r="E25" s="14">
        <v>22.91615779</v>
      </c>
      <c r="F25" s="16">
        <v>1.8962678799999999</v>
      </c>
      <c r="G25" s="14">
        <v>77.08384221</v>
      </c>
      <c r="H25" s="16">
        <v>1.8962678799999999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(2009/B26*100)</f>
        <v>82</v>
      </c>
      <c r="D26" s="15">
        <v>441</v>
      </c>
      <c r="E26" s="14">
        <v>31.083015469999999</v>
      </c>
      <c r="F26" s="16">
        <v>2.3037528799999998</v>
      </c>
      <c r="G26" s="14">
        <v>68.916984529999993</v>
      </c>
      <c r="H26" s="16">
        <v>2.3037528799999998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(2157/B27*100)</f>
        <v>82.454128440366972</v>
      </c>
      <c r="D27" s="15">
        <v>459</v>
      </c>
      <c r="E27" s="14">
        <v>28.531534099999998</v>
      </c>
      <c r="F27" s="16">
        <v>1.94567763</v>
      </c>
      <c r="G27" s="14">
        <v>71.468465899999998</v>
      </c>
      <c r="H27" s="16">
        <v>1.94567763</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(3122/B28*100)</f>
        <v>82.921646746347946</v>
      </c>
      <c r="D28" s="15">
        <v>643</v>
      </c>
      <c r="E28" s="14">
        <v>52.052058359999997</v>
      </c>
      <c r="F28" s="16">
        <v>2.13655303</v>
      </c>
      <c r="G28" s="14">
        <v>47.947941640000003</v>
      </c>
      <c r="H28" s="16">
        <v>2.13655303</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24.806267519999999</v>
      </c>
      <c r="F29" s="16">
        <v>1.8708979400000001</v>
      </c>
      <c r="G29" s="14">
        <v>75.193732479999994</v>
      </c>
      <c r="H29" s="16">
        <v>1.8708979400000001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(1867/B30*100)</f>
        <v>82.501104728236854</v>
      </c>
      <c r="D30" s="15">
        <v>396</v>
      </c>
      <c r="E30" s="14">
        <v>24.283420920000001</v>
      </c>
      <c r="F30" s="16">
        <v>2.53627001</v>
      </c>
      <c r="G30" s="14">
        <v>75.716579080000002</v>
      </c>
      <c r="H30" s="16">
        <v>2.53627001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26.744862090000002</v>
      </c>
      <c r="F31" s="16">
        <v>2.08103178</v>
      </c>
      <c r="G31" s="14">
        <v>73.255137910000002</v>
      </c>
      <c r="H31" s="16">
        <v>2.08103178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(3058/B33*100)</f>
        <v>83.233532934131745</v>
      </c>
      <c r="D33" s="15">
        <v>616</v>
      </c>
      <c r="E33" s="14">
        <v>36.761094630000002</v>
      </c>
      <c r="F33" s="16">
        <v>2.4103237800000001</v>
      </c>
      <c r="G33" s="14">
        <v>63.238905369999998</v>
      </c>
      <c r="H33" s="16">
        <v>2.4103237800000001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(2746/B34*100)</f>
        <v>82.835595776772251</v>
      </c>
      <c r="D34" s="15">
        <v>569</v>
      </c>
      <c r="E34" s="14">
        <v>34.71673784</v>
      </c>
      <c r="F34" s="16">
        <v>2.22785039</v>
      </c>
      <c r="G34" s="14">
        <v>65.283262160000007</v>
      </c>
      <c r="H34" s="16">
        <v>2.22785039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(2904/B35*100)</f>
        <v>82.853067047075598</v>
      </c>
      <c r="D35" s="15">
        <v>601</v>
      </c>
      <c r="E35" s="14">
        <v>33.519839300000001</v>
      </c>
      <c r="F35" s="16">
        <v>2.4126291200000001</v>
      </c>
      <c r="G35" s="14">
        <v>66.480160699999999</v>
      </c>
      <c r="H35" s="16">
        <v>2.4126291200000001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(2758/B36*100)</f>
        <v>82.773109243697476</v>
      </c>
      <c r="D36" s="15">
        <v>574</v>
      </c>
      <c r="E36" s="14">
        <v>36.041457309999998</v>
      </c>
      <c r="F36" s="16">
        <v>2.2424977699999999</v>
      </c>
      <c r="G36" s="14">
        <v>63.958542690000002</v>
      </c>
      <c r="H36" s="16">
        <v>2.2424977699999999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(2260/B37*100)</f>
        <v>82.874954162082872</v>
      </c>
      <c r="D37" s="15">
        <v>467</v>
      </c>
      <c r="E37" s="14">
        <v>29.43744418</v>
      </c>
      <c r="F37" s="16">
        <v>2.5063072000000002</v>
      </c>
      <c r="G37" s="14">
        <v>70.56255582</v>
      </c>
      <c r="H37" s="16">
        <v>2.5063072000000002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(2457/B39*100)</f>
        <v>83.090970578288804</v>
      </c>
      <c r="D39" s="15">
        <v>500</v>
      </c>
      <c r="E39" s="14">
        <v>53.201432439999998</v>
      </c>
      <c r="F39" s="16">
        <v>2.2641021100000001</v>
      </c>
      <c r="G39" s="14">
        <v>46.798567560000002</v>
      </c>
      <c r="H39" s="16">
        <v>2.2641021100000001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(5958/B40*100)</f>
        <v>82.349689011748453</v>
      </c>
      <c r="D40" s="15">
        <v>1277</v>
      </c>
      <c r="E40" s="14">
        <v>25.91526665</v>
      </c>
      <c r="F40" s="16">
        <v>1.5834686200000001</v>
      </c>
      <c r="G40" s="14">
        <v>74.084733349999993</v>
      </c>
      <c r="H40" s="16">
        <v>1.5834686200000001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(2389/B41*100)</f>
        <v>83.589923023093064</v>
      </c>
      <c r="D41" s="15">
        <v>469</v>
      </c>
      <c r="E41" s="14">
        <v>23.786668410000001</v>
      </c>
      <c r="F41" s="16">
        <v>1.85000516</v>
      </c>
      <c r="G41" s="14">
        <v>76.213331589999996</v>
      </c>
      <c r="H41" s="16">
        <v>1.85000516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82.90603284267435</v>
      </c>
      <c r="D42" s="15">
        <f>IF(COUNT(D7:D41) &gt; 0, AVERAGE(D7:D41), "—")</f>
        <v>624.09375</v>
      </c>
      <c r="E42" s="14">
        <f>IF(COUNT(E7:E41) &gt; 0, AVERAGE(E7:E41), "—")</f>
        <v>31.815950493124998</v>
      </c>
      <c r="F42" s="16">
        <f>IF(COUNT(F7:F41) &gt; 0, SQRT(SUMSQ(F7:F41)/(COUNT(F7:F41)*COUNT(F7:F41)) ), "—")</f>
        <v>0.3728104663857334</v>
      </c>
      <c r="G42" s="14">
        <f>IF(COUNT(G7:G41) &gt; 0, AVERAGE(G7:G41), "—")</f>
        <v>68.184049506875013</v>
      </c>
      <c r="H42" s="16">
        <f>IF(COUNT(H7:H41) &gt; 0, SQRT(SUMSQ(H7:H41)/(COUNT(H7:H41)*COUNT(H7:H41)) ), "—")</f>
        <v>0.3728104663857334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(9383/B46*100)</f>
        <v>84.775930610769791</v>
      </c>
      <c r="D46" s="15">
        <v>1685</v>
      </c>
      <c r="E46" s="14">
        <v>53.885534180000001</v>
      </c>
      <c r="F46" s="16">
        <v>1.7739881399999999</v>
      </c>
      <c r="G46" s="14">
        <v>46.114465819999999</v>
      </c>
      <c r="H46" s="16">
        <v>1.7739881399999999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(2564/B47*100)</f>
        <v>82.576489533011284</v>
      </c>
      <c r="D47" s="15">
        <v>541</v>
      </c>
      <c r="E47" s="14">
        <v>46.545205760000002</v>
      </c>
      <c r="F47" s="16">
        <v>2.3241123799999999</v>
      </c>
      <c r="G47" s="14">
        <v>53.454794239999998</v>
      </c>
      <c r="H47" s="16">
        <v>2.3241123799999999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40.954514039999999</v>
      </c>
      <c r="F48" s="16">
        <v>2.1121450400000001</v>
      </c>
      <c r="G48" s="14">
        <v>59.045485960000001</v>
      </c>
      <c r="H48" s="16">
        <v>2.1121450400000001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(4662/B50*100)</f>
        <v>82.703565726450236</v>
      </c>
      <c r="D50" s="15">
        <v>975</v>
      </c>
      <c r="E50" s="14">
        <v>45.252030570000002</v>
      </c>
      <c r="F50" s="16">
        <v>1.7377428100000001</v>
      </c>
      <c r="G50" s="14">
        <v>54.747969429999998</v>
      </c>
      <c r="H50" s="16">
        <v>1.7377428100000001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48.074647290000001</v>
      </c>
      <c r="F51" s="16">
        <v>2.3996783499999998</v>
      </c>
      <c r="G51" s="14">
        <v>51.925352709999999</v>
      </c>
      <c r="H51" s="16">
        <v>2.3996783499999998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50.258681379999999</v>
      </c>
      <c r="F52" s="16">
        <v>2.47578502</v>
      </c>
      <c r="G52" s="14">
        <v>49.741318620000001</v>
      </c>
      <c r="H52" s="16">
        <v>2.47578502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55.163973679999998</v>
      </c>
      <c r="F53" s="16">
        <v>2.3831712899999999</v>
      </c>
      <c r="G53" s="14">
        <v>44.836026320000002</v>
      </c>
      <c r="H53" s="16">
        <v>2.3831712899999999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38.553005829999996</v>
      </c>
      <c r="F56" s="16">
        <v>2.8083792999999999</v>
      </c>
      <c r="G56" s="14">
        <v>61.446994170000004</v>
      </c>
      <c r="H56" s="16">
        <v>2.8083792999999999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32.047417500000002</v>
      </c>
      <c r="F61" s="16">
        <v>1.89829337</v>
      </c>
      <c r="G61" s="14">
        <v>67.952582500000005</v>
      </c>
      <c r="H61" s="16">
        <v>1.89829337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33.353109879999998</v>
      </c>
      <c r="F62" s="16">
        <v>2.4412128399999999</v>
      </c>
      <c r="G62" s="14">
        <v>66.646890119999995</v>
      </c>
      <c r="H62" s="16">
        <v>2.4412128399999999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(2396/B66*100)</f>
        <v>82.791983413959912</v>
      </c>
      <c r="D66" s="15">
        <v>498</v>
      </c>
      <c r="E66" s="14">
        <v>43.826253379999997</v>
      </c>
      <c r="F66" s="16">
        <v>1.98453049</v>
      </c>
      <c r="G66" s="14">
        <v>56.173746620000003</v>
      </c>
      <c r="H66" s="16">
        <v>1.98453049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(2943/B67*100)</f>
        <v>83.822272856735964</v>
      </c>
      <c r="D67" s="15">
        <v>568</v>
      </c>
      <c r="E67" s="14">
        <v>58.851702179999997</v>
      </c>
      <c r="F67" s="16">
        <v>2.2055944900000002</v>
      </c>
      <c r="G67" s="14">
        <v>41.148297820000003</v>
      </c>
      <c r="H67" s="16">
        <v>2.2055944900000002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36.048329899999999</v>
      </c>
      <c r="F70" s="16">
        <v>2.41226523</v>
      </c>
      <c r="G70" s="14">
        <v>63.951670100000001</v>
      </c>
      <c r="H70" s="16">
        <v>2.41226523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47.557656610000002</v>
      </c>
      <c r="F72" s="16">
        <v>2.2149945299999998</v>
      </c>
      <c r="G72" s="14">
        <v>52.442343389999998</v>
      </c>
      <c r="H72" s="16">
        <v>2.2149945299999998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(2981/B73*100)</f>
        <v>82.874617737003049</v>
      </c>
      <c r="D73" s="15">
        <v>616</v>
      </c>
      <c r="E73" s="14">
        <v>45.305767469999999</v>
      </c>
      <c r="F73" s="16">
        <v>2.4013105700000001</v>
      </c>
      <c r="G73" s="14">
        <v>54.694232530000001</v>
      </c>
      <c r="H73" s="16">
        <v>2.4013105700000001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(2016/B75*100)</f>
        <v>83.790523690773071</v>
      </c>
      <c r="D75" s="15">
        <v>390</v>
      </c>
      <c r="E75" s="14">
        <v>75.843835510000005</v>
      </c>
      <c r="F75" s="16">
        <v>2.2546712000000002</v>
      </c>
      <c r="G75" s="14">
        <v>24.156164489999998</v>
      </c>
      <c r="H75" s="16">
        <v>2.2546712000000002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(5869/B76*100)</f>
        <v>83.224617129892238</v>
      </c>
      <c r="D76" s="15">
        <v>1183</v>
      </c>
      <c r="E76" s="14">
        <v>55.737373550000001</v>
      </c>
      <c r="F76" s="16">
        <v>1.5583501200000001</v>
      </c>
      <c r="G76" s="14">
        <v>44.262626449999999</v>
      </c>
      <c r="H76" s="16">
        <v>1.5583501200000001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(2391/B77*100)</f>
        <v>82.221458046767538</v>
      </c>
      <c r="D77" s="15">
        <v>517</v>
      </c>
      <c r="E77" s="14">
        <v>42.000569810000002</v>
      </c>
      <c r="F77" s="16">
        <v>2.0485816899999998</v>
      </c>
      <c r="G77" s="14">
        <v>57.999430189999998</v>
      </c>
      <c r="H77" s="16">
        <v>2.0485816899999998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(3429/B81*100)</f>
        <v>82.368484266154212</v>
      </c>
      <c r="D81" s="15">
        <v>734</v>
      </c>
      <c r="E81" s="14">
        <v>48.308036420000001</v>
      </c>
      <c r="F81" s="16">
        <v>2.3006070200000002</v>
      </c>
      <c r="G81" s="14">
        <v>51.691963579999999</v>
      </c>
      <c r="H81" s="16">
        <v>2.3006070200000002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43.294755709999997</v>
      </c>
      <c r="F7" s="16">
        <v>1.55922513</v>
      </c>
      <c r="G7" s="14">
        <v>56.705244290000003</v>
      </c>
      <c r="H7" s="16">
        <v>1.55922513</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40.19788921</v>
      </c>
      <c r="F8" s="16">
        <v>2.2772469399999999</v>
      </c>
      <c r="G8" s="14">
        <v>59.80211079</v>
      </c>
      <c r="H8" s="16">
        <v>2.2772469399999999</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46.642948410000002</v>
      </c>
      <c r="F9" s="16">
        <v>2.028715</v>
      </c>
      <c r="G9" s="14">
        <v>53.357051589999998</v>
      </c>
      <c r="H9" s="16">
        <v>2.028715</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39.73237211</v>
      </c>
      <c r="F10" s="16">
        <v>1.5803188100000001</v>
      </c>
      <c r="G10" s="14">
        <v>60.26762789</v>
      </c>
      <c r="H10" s="16">
        <v>1.5803188100000001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60.280870139999998</v>
      </c>
      <c r="F11" s="16">
        <v>2.3248268699999999</v>
      </c>
      <c r="G11" s="14">
        <v>39.719129860000002</v>
      </c>
      <c r="H11" s="16">
        <v>2.3248268699999999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39.868514930000003</v>
      </c>
      <c r="F12" s="16">
        <v>1.9863799900000001</v>
      </c>
      <c r="G12" s="14">
        <v>60.131485069999997</v>
      </c>
      <c r="H12" s="16">
        <v>1.9863799900000001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42.657275200000001</v>
      </c>
      <c r="F13" s="16">
        <v>2.16753683</v>
      </c>
      <c r="G13" s="14">
        <v>57.342724799999999</v>
      </c>
      <c r="H13" s="16">
        <v>2.16753683</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35.052264209999997</v>
      </c>
      <c r="F14" s="16">
        <v>2.49779887</v>
      </c>
      <c r="G14" s="14">
        <v>64.947735789999996</v>
      </c>
      <c r="H14" s="16">
        <v>2.49779887</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47.913806430000001</v>
      </c>
      <c r="F15" s="16">
        <v>2.7421490199999998</v>
      </c>
      <c r="G15" s="14">
        <v>52.086193569999999</v>
      </c>
      <c r="H15" s="16">
        <v>2.7421490199999998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48.709618480000003</v>
      </c>
      <c r="F16" s="16">
        <v>2.1793614899999998</v>
      </c>
      <c r="G16" s="14">
        <v>51.290381519999997</v>
      </c>
      <c r="H16" s="16">
        <v>2.1793614899999998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36.002546950000003</v>
      </c>
      <c r="F17" s="16">
        <v>2.0841029400000002</v>
      </c>
      <c r="G17" s="14">
        <v>63.997453049999997</v>
      </c>
      <c r="H17" s="16">
        <v>2.0841029400000002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60.974558190000003</v>
      </c>
      <c r="F18" s="16">
        <v>2.0780873500000001</v>
      </c>
      <c r="G18" s="14">
        <v>39.025441809999997</v>
      </c>
      <c r="H18" s="16">
        <v>2.0780873500000001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52.684386349999997</v>
      </c>
      <c r="F19" s="16">
        <v>2.1423697399999999</v>
      </c>
      <c r="G19" s="14">
        <v>47.315613650000003</v>
      </c>
      <c r="H19" s="16">
        <v>2.1423697399999999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48.201593520000003</v>
      </c>
      <c r="F20" s="16">
        <v>3.52639893</v>
      </c>
      <c r="G20" s="14">
        <v>51.798406479999997</v>
      </c>
      <c r="H20" s="16">
        <v>3.52639893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54.764826110000001</v>
      </c>
      <c r="F22" s="16">
        <v>2.6016533800000001</v>
      </c>
      <c r="G22" s="14">
        <v>45.235173889999999</v>
      </c>
      <c r="H22" s="16">
        <v>2.6016533800000001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49.038486460000001</v>
      </c>
      <c r="F23" s="16">
        <v>2.2580327200000001</v>
      </c>
      <c r="G23" s="14">
        <v>50.961513539999999</v>
      </c>
      <c r="H23" s="16">
        <v>2.2580327200000001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59.26280809</v>
      </c>
      <c r="F24" s="16">
        <v>2.1122513299999999</v>
      </c>
      <c r="G24" s="14">
        <v>40.73719191</v>
      </c>
      <c r="H24" s="16">
        <v>2.1122513299999999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56.510547330000001</v>
      </c>
      <c r="F25" s="16">
        <v>2.48846773</v>
      </c>
      <c r="G25" s="14">
        <v>43.489452669999999</v>
      </c>
      <c r="H25" s="16">
        <v>2.48846773</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53.603855580000001</v>
      </c>
      <c r="F26" s="16">
        <v>2.0993054500000001</v>
      </c>
      <c r="G26" s="14">
        <v>46.396144419999999</v>
      </c>
      <c r="H26" s="16">
        <v>2.0993054500000001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46.44153068</v>
      </c>
      <c r="F27" s="16">
        <v>2.2578852999999999</v>
      </c>
      <c r="G27" s="14">
        <v>53.55846932</v>
      </c>
      <c r="H27" s="16">
        <v>2.2578852999999999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60.953046980000003</v>
      </c>
      <c r="F28" s="16">
        <v>2.2360468500000001</v>
      </c>
      <c r="G28" s="14">
        <v>39.046953019999997</v>
      </c>
      <c r="H28" s="16">
        <v>2.2360468500000001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40.469462159999999</v>
      </c>
      <c r="F29" s="16">
        <v>2.1789536799999998</v>
      </c>
      <c r="G29" s="14">
        <v>59.530537840000001</v>
      </c>
      <c r="H29" s="16">
        <v>2.1789536799999998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40.161300789999999</v>
      </c>
      <c r="F30" s="16">
        <v>2.2643308599999998</v>
      </c>
      <c r="G30" s="14">
        <v>59.838699210000001</v>
      </c>
      <c r="H30" s="16">
        <v>2.2643308599999998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42.731311990000002</v>
      </c>
      <c r="F31" s="16">
        <v>2.2665710200000002</v>
      </c>
      <c r="G31" s="14">
        <v>57.268688009999998</v>
      </c>
      <c r="H31" s="16">
        <v>2.2665710200000002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57.313812669999997</v>
      </c>
      <c r="F33" s="16">
        <v>2.2395796799999999</v>
      </c>
      <c r="G33" s="14">
        <v>42.686187330000003</v>
      </c>
      <c r="H33" s="16">
        <v>2.2395796799999999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57.768851320000003</v>
      </c>
      <c r="F34" s="16">
        <v>2.15233418</v>
      </c>
      <c r="G34" s="14">
        <v>42.231148679999997</v>
      </c>
      <c r="H34" s="16">
        <v>2.15233418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48.311822300000003</v>
      </c>
      <c r="F35" s="16">
        <v>2.4211937799999999</v>
      </c>
      <c r="G35" s="14">
        <v>51.688177699999997</v>
      </c>
      <c r="H35" s="16">
        <v>2.4211937799999999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52.329606220000002</v>
      </c>
      <c r="F36" s="16">
        <v>2.3141799500000002</v>
      </c>
      <c r="G36" s="14">
        <v>47.670393779999998</v>
      </c>
      <c r="H36" s="16">
        <v>2.3141799500000002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43.159809690000003</v>
      </c>
      <c r="F37" s="16">
        <v>2.3449827700000001</v>
      </c>
      <c r="G37" s="14">
        <v>56.840190309999997</v>
      </c>
      <c r="H37" s="16">
        <v>2.3449827700000001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62.120845279999998</v>
      </c>
      <c r="F39" s="16">
        <v>2.9563078699999998</v>
      </c>
      <c r="G39" s="14">
        <v>37.879154720000002</v>
      </c>
      <c r="H39" s="16">
        <v>2.9563078699999998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45.76322837</v>
      </c>
      <c r="F40" s="16">
        <v>2.1900045600000002</v>
      </c>
      <c r="G40" s="14">
        <v>54.23677163</v>
      </c>
      <c r="H40" s="16">
        <v>2.1900045600000002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43.526700640000001</v>
      </c>
      <c r="F41" s="16">
        <v>2.1935205199999999</v>
      </c>
      <c r="G41" s="14">
        <v>56.473299359999999</v>
      </c>
      <c r="H41" s="16">
        <v>2.1935205199999999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48.638914140624998</v>
      </c>
      <c r="F42" s="16">
        <f>IF(COUNT(F7:F41) &gt; 0, SQRT(SUMSQ(F7:F41)/(COUNT(F7:F41)*COUNT(F7:F41)) ), "—")</f>
        <v>0.40652041349600554</v>
      </c>
      <c r="G42" s="14">
        <f>IF(COUNT(G7:G41) &gt; 0, AVERAGE(G7:G41), "—")</f>
        <v>51.361085859375009</v>
      </c>
      <c r="H42" s="16">
        <f>IF(COUNT(H7:H41) &gt; 0, SQRT(SUMSQ(H7:H41)/(COUNT(H7:H41)*COUNT(H7:H41)) ), "—")</f>
        <v>0.40652041349600554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67.444090810000006</v>
      </c>
      <c r="F46" s="16">
        <v>1.4180547800000001</v>
      </c>
      <c r="G46" s="14">
        <v>32.555909190000001</v>
      </c>
      <c r="H46" s="16">
        <v>1.4180547800000001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60.911120310000001</v>
      </c>
      <c r="F47" s="16">
        <v>2.0161303300000002</v>
      </c>
      <c r="G47" s="14">
        <v>39.088879689999999</v>
      </c>
      <c r="H47" s="16">
        <v>2.0161303300000002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48.223038789999997</v>
      </c>
      <c r="F48" s="16">
        <v>2.3144482900000001</v>
      </c>
      <c r="G48" s="14">
        <v>51.776961210000003</v>
      </c>
      <c r="H48" s="16">
        <v>2.3144482900000001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65.405320849999995</v>
      </c>
      <c r="F50" s="16">
        <v>2.2685761900000001</v>
      </c>
      <c r="G50" s="14">
        <v>34.594679149999997</v>
      </c>
      <c r="H50" s="16">
        <v>2.2685761900000001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67.392535910000007</v>
      </c>
      <c r="F51" s="16">
        <v>2.3781925500000001</v>
      </c>
      <c r="G51" s="14">
        <v>32.607464090000001</v>
      </c>
      <c r="H51" s="16">
        <v>2.3781925500000001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59.219562349999997</v>
      </c>
      <c r="F52" s="16">
        <v>2.7003360500000002</v>
      </c>
      <c r="G52" s="14">
        <v>40.780437650000003</v>
      </c>
      <c r="H52" s="16">
        <v>2.7003360500000002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59.658266709999999</v>
      </c>
      <c r="F53" s="16">
        <v>2.1501271000000002</v>
      </c>
      <c r="G53" s="14">
        <v>40.341733290000001</v>
      </c>
      <c r="H53" s="16">
        <v>2.1501271000000002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36.125030109999997</v>
      </c>
      <c r="F56" s="16">
        <v>3.0844375099999999</v>
      </c>
      <c r="G56" s="14">
        <v>63.874969890000003</v>
      </c>
      <c r="H56" s="16">
        <v>3.0844375099999999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49.178404780000001</v>
      </c>
      <c r="F61" s="16">
        <v>2.31511449</v>
      </c>
      <c r="G61" s="14">
        <v>50.821595219999999</v>
      </c>
      <c r="H61" s="16">
        <v>2.31511449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38.24028208</v>
      </c>
      <c r="F62" s="16">
        <v>2.3582038700000001</v>
      </c>
      <c r="G62" s="14">
        <v>61.75971792</v>
      </c>
      <c r="H62" s="16">
        <v>2.3582038700000001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71.626132499999997</v>
      </c>
      <c r="F66" s="16">
        <v>2.1866018299999999</v>
      </c>
      <c r="G66" s="14">
        <v>28.373867499999999</v>
      </c>
      <c r="H66" s="16">
        <v>2.1866018299999999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71.169701450000005</v>
      </c>
      <c r="F67" s="16">
        <v>1.8771815199999999</v>
      </c>
      <c r="G67" s="14">
        <v>28.830298549999998</v>
      </c>
      <c r="H67" s="16">
        <v>1.8771815199999999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47.350804240000002</v>
      </c>
      <c r="F70" s="16">
        <v>2.8236949899999999</v>
      </c>
      <c r="G70" s="14">
        <v>52.649195759999998</v>
      </c>
      <c r="H70" s="16">
        <v>2.8236949899999999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43.120068250000003</v>
      </c>
      <c r="F72" s="16">
        <v>1.8213798999999999</v>
      </c>
      <c r="G72" s="14">
        <v>56.879931749999997</v>
      </c>
      <c r="H72" s="16">
        <v>1.8213798999999999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50.845660680000002</v>
      </c>
      <c r="F73" s="16">
        <v>2.7122623199999998</v>
      </c>
      <c r="G73" s="14">
        <v>49.154339319999998</v>
      </c>
      <c r="H73" s="16">
        <v>2.7122623199999998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74.929637959999994</v>
      </c>
      <c r="F75" s="16">
        <v>2.0425773199999999</v>
      </c>
      <c r="G75" s="14">
        <v>25.070362039999999</v>
      </c>
      <c r="H75" s="16">
        <v>2.0425773199999999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61.088089019999998</v>
      </c>
      <c r="F76" s="16">
        <v>1.9203149399999999</v>
      </c>
      <c r="G76" s="14">
        <v>38.911910980000002</v>
      </c>
      <c r="H76" s="16">
        <v>1.9203149399999999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57.655698610000002</v>
      </c>
      <c r="F77" s="16">
        <v>2.3999718099999998</v>
      </c>
      <c r="G77" s="14">
        <v>42.344301389999998</v>
      </c>
      <c r="H77" s="16">
        <v>2.3999718099999998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54.377476700000003</v>
      </c>
      <c r="F81" s="16">
        <v>2.6184035400000001</v>
      </c>
      <c r="G81" s="14">
        <v>45.622523299999997</v>
      </c>
      <c r="H81" s="16">
        <v>2.6184035400000001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349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49.661001540000001</v>
      </c>
      <c r="F7" s="16">
        <v>1.5107521399999999</v>
      </c>
      <c r="G7" s="14">
        <v>50.338998459999999</v>
      </c>
      <c r="H7" s="16">
        <v>1.5107521399999999</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51.719854750000003</v>
      </c>
      <c r="F8" s="16">
        <v>2.16596381</v>
      </c>
      <c r="G8" s="14">
        <v>48.280145249999997</v>
      </c>
      <c r="H8" s="16">
        <v>2.16596381</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61.323928510000002</v>
      </c>
      <c r="F9" s="16">
        <v>1.6174068399999999</v>
      </c>
      <c r="G9" s="14">
        <v>38.676071489999998</v>
      </c>
      <c r="H9" s="16">
        <v>1.6174068399999999</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51.55133695</v>
      </c>
      <c r="F10" s="16">
        <v>1.75919995</v>
      </c>
      <c r="G10" s="14">
        <v>48.44866305</v>
      </c>
      <c r="H10" s="16">
        <v>1.75919995</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69.999315030000005</v>
      </c>
      <c r="F11" s="16">
        <v>2.1426412699999999</v>
      </c>
      <c r="G11" s="14">
        <v>30.000684969999998</v>
      </c>
      <c r="H11" s="16">
        <v>2.1426412699999999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(2983/B13*100)</f>
        <v>83.815678561393653</v>
      </c>
      <c r="D13" s="15">
        <v>576</v>
      </c>
      <c r="E13" s="14">
        <v>60.066896970000002</v>
      </c>
      <c r="F13" s="16">
        <v>2.4545704800000001</v>
      </c>
      <c r="G13" s="14">
        <v>39.933103029999998</v>
      </c>
      <c r="H13" s="16">
        <v>2.4545704800000001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62.932268899999997</v>
      </c>
      <c r="F14" s="16">
        <v>2.2884849699999998</v>
      </c>
      <c r="G14" s="14">
        <v>37.067731100000003</v>
      </c>
      <c r="H14" s="16">
        <v>2.2884849699999998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47.833915410000003</v>
      </c>
      <c r="F15" s="16">
        <v>2.1859822599999998</v>
      </c>
      <c r="G15" s="14">
        <v>52.166084589999997</v>
      </c>
      <c r="H15" s="16">
        <v>2.1859822599999998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59.759351580000001</v>
      </c>
      <c r="F16" s="16">
        <v>2.5120328500000002</v>
      </c>
      <c r="G16" s="14">
        <v>40.240648419999999</v>
      </c>
      <c r="H16" s="16">
        <v>2.5120328500000002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44.997831669999997</v>
      </c>
      <c r="F17" s="16">
        <v>2.1642977800000001</v>
      </c>
      <c r="G17" s="14">
        <v>55.002168330000003</v>
      </c>
      <c r="H17" s="16">
        <v>2.1642977800000001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61.647047180000001</v>
      </c>
      <c r="F18" s="16">
        <v>2.26472914</v>
      </c>
      <c r="G18" s="14">
        <v>38.352952819999999</v>
      </c>
      <c r="H18" s="16">
        <v>2.26472914</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60.628450620000002</v>
      </c>
      <c r="F19" s="16">
        <v>2.6938732600000002</v>
      </c>
      <c r="G19" s="14">
        <v>39.371549379999998</v>
      </c>
      <c r="H19" s="16">
        <v>2.6938732600000002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61.774268970000001</v>
      </c>
      <c r="F20" s="16">
        <v>2.7662183699999998</v>
      </c>
      <c r="G20" s="14">
        <v>38.225731029999999</v>
      </c>
      <c r="H20" s="16">
        <v>2.7662183699999998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62.427589699999999</v>
      </c>
      <c r="F22" s="16">
        <v>2.1738651199999999</v>
      </c>
      <c r="G22" s="14">
        <v>37.572410300000001</v>
      </c>
      <c r="H22" s="16">
        <v>2.1738651199999999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59.795288020000001</v>
      </c>
      <c r="F23" s="16">
        <v>2.01667116</v>
      </c>
      <c r="G23" s="14">
        <v>40.204711979999999</v>
      </c>
      <c r="H23" s="16">
        <v>2.01667116</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45.431372629999998</v>
      </c>
      <c r="F24" s="16">
        <v>1.9968416899999999</v>
      </c>
      <c r="G24" s="14">
        <v>54.568627370000002</v>
      </c>
      <c r="H24" s="16">
        <v>1.9968416899999999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33.4198278</v>
      </c>
      <c r="F25" s="16">
        <v>2.1267177400000001</v>
      </c>
      <c r="G25" s="14">
        <v>66.580172200000007</v>
      </c>
      <c r="H25" s="16">
        <v>2.1267177400000001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59.44741604</v>
      </c>
      <c r="F26" s="16">
        <v>2.25826065</v>
      </c>
      <c r="G26" s="14">
        <v>40.55258396</v>
      </c>
      <c r="H26" s="16">
        <v>2.25826065</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52.42849365</v>
      </c>
      <c r="F27" s="16">
        <v>2.4645553699999998</v>
      </c>
      <c r="G27" s="14">
        <v>47.57150635</v>
      </c>
      <c r="H27" s="16">
        <v>2.4645553699999998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67.674270660000005</v>
      </c>
      <c r="F28" s="16">
        <v>1.80313736</v>
      </c>
      <c r="G28" s="14">
        <v>32.325729340000002</v>
      </c>
      <c r="H28" s="16">
        <v>1.80313736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62.565353709999997</v>
      </c>
      <c r="F29" s="16">
        <v>2.20108864</v>
      </c>
      <c r="G29" s="14">
        <v>37.434646290000003</v>
      </c>
      <c r="H29" s="16">
        <v>2.20108864</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50.123850670000003</v>
      </c>
      <c r="F30" s="16">
        <v>2.3848864700000001</v>
      </c>
      <c r="G30" s="14">
        <v>49.876149329999997</v>
      </c>
      <c r="H30" s="16">
        <v>2.3848864700000001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59.777775419999998</v>
      </c>
      <c r="F31" s="16">
        <v>2.2147751900000001</v>
      </c>
      <c r="G31" s="14">
        <v>40.222224580000002</v>
      </c>
      <c r="H31" s="16">
        <v>2.2147751900000001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64.569151079999997</v>
      </c>
      <c r="F33" s="16">
        <v>2.2296277600000001</v>
      </c>
      <c r="G33" s="14">
        <v>35.430848920000003</v>
      </c>
      <c r="H33" s="16">
        <v>2.2296277600000001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66.432594159999994</v>
      </c>
      <c r="F34" s="16">
        <v>2.2370815099999999</v>
      </c>
      <c r="G34" s="14">
        <v>33.567405839999999</v>
      </c>
      <c r="H34" s="16">
        <v>2.2370815099999999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49.022969869999997</v>
      </c>
      <c r="F35" s="16">
        <v>2.57816249</v>
      </c>
      <c r="G35" s="14">
        <v>50.977030130000003</v>
      </c>
      <c r="H35" s="16">
        <v>2.57816249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63.835847209999997</v>
      </c>
      <c r="F36" s="16">
        <v>2.0760938699999998</v>
      </c>
      <c r="G36" s="14">
        <v>36.164152790000003</v>
      </c>
      <c r="H36" s="16">
        <v>2.0760938699999998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63.578328929999998</v>
      </c>
      <c r="F37" s="16">
        <v>2.4704082299999999</v>
      </c>
      <c r="G37" s="14">
        <v>36.421671070000002</v>
      </c>
      <c r="H37" s="16">
        <v>2.4704082299999999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56.475713949999999</v>
      </c>
      <c r="F39" s="16">
        <v>2.2918757400000001</v>
      </c>
      <c r="G39" s="14">
        <v>43.524286050000001</v>
      </c>
      <c r="H39" s="16">
        <v>2.2918757400000001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55.706130109999997</v>
      </c>
      <c r="F40" s="16">
        <v>2.0276637800000001</v>
      </c>
      <c r="G40" s="14">
        <v>44.293869890000003</v>
      </c>
      <c r="H40" s="16">
        <v>2.0276637800000001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48.621189180000002</v>
      </c>
      <c r="F41" s="16">
        <v>2.4105397900000001</v>
      </c>
      <c r="G41" s="14">
        <v>51.378810819999998</v>
      </c>
      <c r="H41" s="16">
        <v>2.4105397900000001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55.163394714687499</v>
      </c>
      <c r="F42" s="16">
        <f>IF(COUNT(F7:F41) &gt; 0, SQRT(SUMSQ(F7:F41)/(COUNT(F7:F41)*COUNT(F7:F41)) ), "—")</f>
        <v>0.38745566050919744</v>
      </c>
      <c r="G42" s="14">
        <f>IF(COUNT(G7:G41) &gt; 0, AVERAGE(G7:G41), "—")</f>
        <v>41.711605285312501</v>
      </c>
      <c r="H42" s="16">
        <f>IF(COUNT(H7:H41) &gt; 0, SQRT(SUMSQ(H7:H41)/(COUNT(H7:H41)*COUNT(H7:H41)) ), "—")</f>
        <v>0.38745566050919744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68.093847510000003</v>
      </c>
      <c r="F46" s="16">
        <v>1.5459584200000001</v>
      </c>
      <c r="G46" s="14">
        <v>31.90615249</v>
      </c>
      <c r="H46" s="16">
        <v>1.5459584200000001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61.955859689999997</v>
      </c>
      <c r="F47" s="16">
        <v>2.3652768399999999</v>
      </c>
      <c r="G47" s="14">
        <v>38.044140310000003</v>
      </c>
      <c r="H47" s="16">
        <v>2.3652768399999999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61.856326449999997</v>
      </c>
      <c r="F48" s="16">
        <v>2.10564011</v>
      </c>
      <c r="G48" s="14">
        <v>38.143673550000003</v>
      </c>
      <c r="H48" s="16">
        <v>2.10564011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68.145775990000004</v>
      </c>
      <c r="F50" s="16">
        <v>1.9290076</v>
      </c>
      <c r="G50" s="14">
        <v>31.854224009999999</v>
      </c>
      <c r="H50" s="16">
        <v>1.9290076</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72.478876229999997</v>
      </c>
      <c r="F51" s="16">
        <v>2.1233484100000002</v>
      </c>
      <c r="G51" s="14">
        <v>27.521123769999999</v>
      </c>
      <c r="H51" s="16">
        <v>2.1233484100000002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62.499405690000003</v>
      </c>
      <c r="F52" s="16">
        <v>2.5455852600000002</v>
      </c>
      <c r="G52" s="14">
        <v>37.500594309999997</v>
      </c>
      <c r="H52" s="16">
        <v>2.5455852600000002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68.449151180000001</v>
      </c>
      <c r="F53" s="16">
        <v>1.91539708</v>
      </c>
      <c r="G53" s="14">
        <v>31.550848819999999</v>
      </c>
      <c r="H53" s="16">
        <v>1.91539708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47.149523250000001</v>
      </c>
      <c r="F56" s="16">
        <v>2.4039753699999999</v>
      </c>
      <c r="G56" s="14">
        <v>52.850476749999999</v>
      </c>
      <c r="H56" s="16">
        <v>2.4039753699999999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61.547737439999999</v>
      </c>
      <c r="F61" s="16">
        <v>2.31515161</v>
      </c>
      <c r="G61" s="14">
        <v>38.452262560000001</v>
      </c>
      <c r="H61" s="16">
        <v>2.31515161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46.927204519999997</v>
      </c>
      <c r="F62" s="16">
        <v>2.5330661000000001</v>
      </c>
      <c r="G62" s="14">
        <v>53.072795480000003</v>
      </c>
      <c r="H62" s="16">
        <v>2.5330661000000001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64.041705719999996</v>
      </c>
      <c r="F66" s="16">
        <v>2.3933996799999999</v>
      </c>
      <c r="G66" s="14">
        <v>35.958294279999997</v>
      </c>
      <c r="H66" s="16">
        <v>2.3933996799999999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69.75736612</v>
      </c>
      <c r="F67" s="16">
        <v>2.2824344600000002</v>
      </c>
      <c r="G67" s="14">
        <v>30.24263388</v>
      </c>
      <c r="H67" s="16">
        <v>2.2824344600000002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61.976438340000001</v>
      </c>
      <c r="F70" s="16">
        <v>2.14694546</v>
      </c>
      <c r="G70" s="14">
        <v>38.023561659999999</v>
      </c>
      <c r="H70" s="16">
        <v>2.14694546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48.666493010000003</v>
      </c>
      <c r="F72" s="16">
        <v>2.0221632299999999</v>
      </c>
      <c r="G72" s="14">
        <v>51.333506989999997</v>
      </c>
      <c r="H72" s="16">
        <v>2.0221632299999999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71.923941290000002</v>
      </c>
      <c r="F73" s="16">
        <v>2.1828904800000002</v>
      </c>
      <c r="G73" s="14">
        <v>28.076058710000002</v>
      </c>
      <c r="H73" s="16">
        <v>2.1828904800000002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71.172442910000001</v>
      </c>
      <c r="F75" s="16">
        <v>2.0905721800000001</v>
      </c>
      <c r="G75" s="14">
        <v>28.827557089999999</v>
      </c>
      <c r="H75" s="16">
        <v>2.0905721800000001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65.106874259999998</v>
      </c>
      <c r="F76" s="16">
        <v>1.4907195099999999</v>
      </c>
      <c r="G76" s="14">
        <v>34.893125740000002</v>
      </c>
      <c r="H76" s="16">
        <v>1.4907195099999999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66.60265244</v>
      </c>
      <c r="F77" s="16">
        <v>2.2041614699999998</v>
      </c>
      <c r="G77" s="14">
        <v>33.39734756</v>
      </c>
      <c r="H77" s="16">
        <v>2.2041614699999998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50.6394795</v>
      </c>
      <c r="F81" s="16">
        <v>2.4454460600000001</v>
      </c>
      <c r="G81" s="14">
        <v>49.3605205</v>
      </c>
      <c r="H81" s="16">
        <v>2.4454460600000001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96"/>
  <sheetViews>
    <sheetView zoomScale="80" workbookViewId="0">
      <pane xSplit="4" topLeftCell="E1" activePane="topRight" state="frozen"/>
      <selection pane="topRight" activeCell="A2" sqref="A2:R2"/>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27.308255930000001</v>
      </c>
      <c r="F7" s="16">
        <v>1.5290136299999999</v>
      </c>
      <c r="G7" s="14">
        <v>72.691744069999999</v>
      </c>
      <c r="H7" s="16">
        <v>1.5290136299999999</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31.40572169</v>
      </c>
      <c r="F8" s="16">
        <v>1.83422862</v>
      </c>
      <c r="G8" s="14">
        <v>68.594278310000007</v>
      </c>
      <c r="H8" s="16">
        <v>1.83422862</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31.306350559999998</v>
      </c>
      <c r="F9" s="16">
        <v>1.8252771999999999</v>
      </c>
      <c r="G9" s="14">
        <v>68.693649440000002</v>
      </c>
      <c r="H9" s="16">
        <v>1.8252771999999999</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25.58709567</v>
      </c>
      <c r="F10" s="16">
        <v>1.4125712699999999</v>
      </c>
      <c r="G10" s="14">
        <v>74.412904330000003</v>
      </c>
      <c r="H10" s="16">
        <v>1.4125712699999999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41.266303960000002</v>
      </c>
      <c r="F11" s="16">
        <v>2.7350613699999999</v>
      </c>
      <c r="G11" s="14">
        <v>58.733696039999998</v>
      </c>
      <c r="H11" s="16">
        <v>2.7350613699999999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29.023397549999999</v>
      </c>
      <c r="F12" s="16">
        <v>2.42246578</v>
      </c>
      <c r="G12" s="14">
        <v>70.976602450000001</v>
      </c>
      <c r="H12" s="16">
        <v>2.42246578</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26.936402879999999</v>
      </c>
      <c r="F13" s="16">
        <v>2.0866968899999998</v>
      </c>
      <c r="G13" s="14">
        <v>73.063597119999997</v>
      </c>
      <c r="H13" s="16">
        <v>2.0866968899999998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25.570646119999999</v>
      </c>
      <c r="F14" s="16">
        <v>2.2107446099999999</v>
      </c>
      <c r="G14" s="14">
        <v>74.429353879999994</v>
      </c>
      <c r="H14" s="16">
        <v>2.2107446099999999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28.34225223</v>
      </c>
      <c r="F15" s="16">
        <v>2.2859605200000002</v>
      </c>
      <c r="G15" s="14">
        <v>71.65774777</v>
      </c>
      <c r="H15" s="16">
        <v>2.2859605200000002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35.601646580000001</v>
      </c>
      <c r="F16" s="16">
        <v>1.91996956</v>
      </c>
      <c r="G16" s="14">
        <v>64.398353420000007</v>
      </c>
      <c r="H16" s="16">
        <v>1.91996956</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31.61113052</v>
      </c>
      <c r="F17" s="16">
        <v>2.2223732699999998</v>
      </c>
      <c r="G17" s="14">
        <v>68.388869479999997</v>
      </c>
      <c r="H17" s="16">
        <v>2.2223732699999998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38.637574190000002</v>
      </c>
      <c r="F18" s="16">
        <v>2.36160222</v>
      </c>
      <c r="G18" s="14">
        <v>61.362425809999998</v>
      </c>
      <c r="H18" s="16">
        <v>2.36160222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34.37570281</v>
      </c>
      <c r="F19" s="16">
        <v>2.3482611900000001</v>
      </c>
      <c r="G19" s="14">
        <v>65.624297189999993</v>
      </c>
      <c r="H19" s="16">
        <v>2.3482611900000001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35.807366639999998</v>
      </c>
      <c r="F20" s="16">
        <v>3.0778475099999998</v>
      </c>
      <c r="G20" s="14">
        <v>64.192633360000002</v>
      </c>
      <c r="H20" s="16">
        <v>3.0778475099999998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29.82858199</v>
      </c>
      <c r="F22" s="16">
        <v>2.1551155999999998</v>
      </c>
      <c r="G22" s="14">
        <v>70.171418009999996</v>
      </c>
      <c r="H22" s="16">
        <v>2.1551155999999998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36.105795739999998</v>
      </c>
      <c r="F23" s="16">
        <v>2.3015991900000001</v>
      </c>
      <c r="G23" s="14">
        <v>63.894204260000002</v>
      </c>
      <c r="H23" s="16">
        <v>2.3015991900000001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25.138429940000002</v>
      </c>
      <c r="F24" s="16">
        <v>1.7517190199999999</v>
      </c>
      <c r="G24" s="14">
        <v>74.861570060000005</v>
      </c>
      <c r="H24" s="16">
        <v>1.7517190199999999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16.935114429999999</v>
      </c>
      <c r="F25" s="16">
        <v>1.71959931</v>
      </c>
      <c r="G25" s="14">
        <v>83.064885570000001</v>
      </c>
      <c r="H25" s="16">
        <v>1.71959931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33.125541800000001</v>
      </c>
      <c r="F26" s="16">
        <v>1.9470152300000001</v>
      </c>
      <c r="G26" s="14">
        <v>66.874458200000007</v>
      </c>
      <c r="H26" s="16">
        <v>1.9470152300000001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34.526929340000002</v>
      </c>
      <c r="F27" s="16">
        <v>2.1701037900000002</v>
      </c>
      <c r="G27" s="14">
        <v>65.473070660000005</v>
      </c>
      <c r="H27" s="16">
        <v>2.1701037900000002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49.495178539999998</v>
      </c>
      <c r="F28" s="16">
        <v>1.9572804500000001</v>
      </c>
      <c r="G28" s="14">
        <v>50.504821460000002</v>
      </c>
      <c r="H28" s="16">
        <v>1.9572804500000001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32.87289835</v>
      </c>
      <c r="F29" s="16">
        <v>2.1859116200000002</v>
      </c>
      <c r="G29" s="14">
        <v>67.12710165</v>
      </c>
      <c r="H29" s="16">
        <v>2.1859116200000002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23.196395679999998</v>
      </c>
      <c r="F30" s="16">
        <v>2.0505881000000001</v>
      </c>
      <c r="G30" s="14">
        <v>76.803604320000005</v>
      </c>
      <c r="H30" s="16">
        <v>2.0505881000000001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33.150377679999998</v>
      </c>
      <c r="F31" s="16">
        <v>2.3220633099999999</v>
      </c>
      <c r="G31" s="14">
        <v>66.849622319999995</v>
      </c>
      <c r="H31" s="16">
        <v>2.3220633099999999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40.865080730000003</v>
      </c>
      <c r="F33" s="16">
        <v>2.6136737999999999</v>
      </c>
      <c r="G33" s="14">
        <v>59.134919269999997</v>
      </c>
      <c r="H33" s="16">
        <v>2.6136737999999999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46.04380939</v>
      </c>
      <c r="F34" s="16">
        <v>2.1224781400000001</v>
      </c>
      <c r="G34" s="14">
        <v>53.95619061</v>
      </c>
      <c r="H34" s="16">
        <v>2.1224781400000001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29.129238300000001</v>
      </c>
      <c r="F35" s="16">
        <v>2.14652617</v>
      </c>
      <c r="G35" s="14">
        <v>70.870761700000003</v>
      </c>
      <c r="H35" s="16">
        <v>2.14652617</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30.551366590000001</v>
      </c>
      <c r="F36" s="16">
        <v>1.98021162</v>
      </c>
      <c r="G36" s="14">
        <v>69.448633409999999</v>
      </c>
      <c r="H36" s="16">
        <v>1.98021162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27.787766869999999</v>
      </c>
      <c r="F37" s="16">
        <v>2.2008104099999999</v>
      </c>
      <c r="G37" s="14">
        <v>72.212233130000001</v>
      </c>
      <c r="H37" s="16">
        <v>2.2008104099999999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50.075024929999998</v>
      </c>
      <c r="F39" s="16">
        <v>2.6247746699999999</v>
      </c>
      <c r="G39" s="14">
        <v>49.924975070000002</v>
      </c>
      <c r="H39" s="16">
        <v>2.6247746699999999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25.38465042</v>
      </c>
      <c r="F40" s="16">
        <v>1.867621</v>
      </c>
      <c r="G40" s="14">
        <v>74.61534958</v>
      </c>
      <c r="H40" s="16">
        <v>1.867621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24.769346179999999</v>
      </c>
      <c r="F41" s="16">
        <v>2.1529749800000002</v>
      </c>
      <c r="G41" s="14">
        <v>75.230653820000001</v>
      </c>
      <c r="H41" s="16">
        <v>2.1529749800000002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32.242542944687507</v>
      </c>
      <c r="F42" s="16">
        <f>IF(COUNT(F7:F41) &gt; 0, SQRT(SUMSQ(F7:F41)/(COUNT(F7:F41)*COUNT(F7:F41)) ), "—")</f>
        <v>0.38328143983458912</v>
      </c>
      <c r="G42" s="14">
        <f>IF(COUNT(G7:G41) &gt; 0, AVERAGE(G7:G41), "—")</f>
        <v>67.7574570553125</v>
      </c>
      <c r="H42" s="16">
        <f>IF(COUNT(H7:H41) &gt; 0, SQRT(SUMSQ(H7:H41)/(COUNT(H7:H41)*COUNT(H7:H41)) ), "—")</f>
        <v>0.38328143983458912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61.455750719999998</v>
      </c>
      <c r="F46" s="16">
        <v>1.6507121499999999</v>
      </c>
      <c r="G46" s="14">
        <v>38.544249280000002</v>
      </c>
      <c r="H46" s="16">
        <v>1.6507121499999999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47.370000189999999</v>
      </c>
      <c r="F47" s="16">
        <v>2.6172225500000001</v>
      </c>
      <c r="G47" s="14">
        <v>52.629999810000001</v>
      </c>
      <c r="H47" s="16">
        <v>2.6172225500000001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27.151362410000001</v>
      </c>
      <c r="F48" s="16">
        <v>1.83261739</v>
      </c>
      <c r="G48" s="14">
        <v>72.848637589999996</v>
      </c>
      <c r="H48" s="16">
        <v>1.83261739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53.973666960000003</v>
      </c>
      <c r="F50" s="16">
        <v>2.2350299800000002</v>
      </c>
      <c r="G50" s="14">
        <v>46.026333039999997</v>
      </c>
      <c r="H50" s="16">
        <v>2.2350299800000002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53.934745409999998</v>
      </c>
      <c r="F51" s="16">
        <v>2.41001661</v>
      </c>
      <c r="G51" s="14">
        <v>46.065254590000002</v>
      </c>
      <c r="H51" s="16">
        <v>2.41001661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36.472755939999999</v>
      </c>
      <c r="F52" s="16">
        <v>2.7952994100000002</v>
      </c>
      <c r="G52" s="14">
        <v>63.527244060000001</v>
      </c>
      <c r="H52" s="16">
        <v>2.7952994100000002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43.159299949999998</v>
      </c>
      <c r="F53" s="16">
        <v>2.26899256</v>
      </c>
      <c r="G53" s="14">
        <v>56.840700050000002</v>
      </c>
      <c r="H53" s="16">
        <v>2.26899256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21.665348000000002</v>
      </c>
      <c r="F56" s="16">
        <v>2.0680611799999999</v>
      </c>
      <c r="G56" s="14">
        <v>78.334652000000006</v>
      </c>
      <c r="H56" s="16">
        <v>2.0680611799999999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35.511693350000002</v>
      </c>
      <c r="F61" s="16">
        <v>2.52139187</v>
      </c>
      <c r="G61" s="14">
        <v>64.488306649999998</v>
      </c>
      <c r="H61" s="16">
        <v>2.52139187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26.684263309999999</v>
      </c>
      <c r="F62" s="16">
        <v>2.4908057299999999</v>
      </c>
      <c r="G62" s="14">
        <v>73.315736689999994</v>
      </c>
      <c r="H62" s="16">
        <v>2.4908057299999999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50.856835320000002</v>
      </c>
      <c r="F66" s="16">
        <v>2.2108927299999999</v>
      </c>
      <c r="G66" s="14">
        <v>49.143164679999998</v>
      </c>
      <c r="H66" s="16">
        <v>2.2108927299999999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53.016033309999997</v>
      </c>
      <c r="F67" s="16">
        <v>2.4732431199999998</v>
      </c>
      <c r="G67" s="14">
        <v>46.983966690000003</v>
      </c>
      <c r="H67" s="16">
        <v>2.4732431199999998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45.094001120000001</v>
      </c>
      <c r="F70" s="16">
        <v>2.22370329</v>
      </c>
      <c r="G70" s="14">
        <v>54.905998879999999</v>
      </c>
      <c r="H70" s="16">
        <v>2.22370329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25.834048790000001</v>
      </c>
      <c r="F72" s="16">
        <v>1.79719454</v>
      </c>
      <c r="G72" s="14">
        <v>74.165951210000003</v>
      </c>
      <c r="H72" s="16">
        <v>1.79719454</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52.700800510000001</v>
      </c>
      <c r="F73" s="16">
        <v>2.4468356999999998</v>
      </c>
      <c r="G73" s="14">
        <v>47.299199489999999</v>
      </c>
      <c r="H73" s="16">
        <v>2.4468356999999998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60.240286480000002</v>
      </c>
      <c r="F75" s="16">
        <v>2.2962425799999999</v>
      </c>
      <c r="G75" s="14">
        <v>39.759713519999998</v>
      </c>
      <c r="H75" s="16">
        <v>2.2962425799999999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50.575207290000002</v>
      </c>
      <c r="F76" s="16">
        <v>1.7188251000000001</v>
      </c>
      <c r="G76" s="14">
        <v>49.424792709999998</v>
      </c>
      <c r="H76" s="16">
        <v>1.7188251000000001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47.805850540000002</v>
      </c>
      <c r="F77" s="16">
        <v>2.2348423400000001</v>
      </c>
      <c r="G77" s="14">
        <v>52.194149459999998</v>
      </c>
      <c r="H77" s="16">
        <v>2.2348423400000001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46.404697229999996</v>
      </c>
      <c r="F81" s="16">
        <v>2.4688972200000001</v>
      </c>
      <c r="G81" s="14">
        <v>53.595302770000004</v>
      </c>
      <c r="H81" s="16">
        <v>2.4688972200000001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32.895484789999998</v>
      </c>
      <c r="F7" s="16">
        <v>1.42622917</v>
      </c>
      <c r="G7" s="14">
        <v>67.104515210000002</v>
      </c>
      <c r="H7" s="16">
        <v>1.42622917</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37.815226440000004</v>
      </c>
      <c r="F8" s="16">
        <v>2.09651364</v>
      </c>
      <c r="G8" s="14">
        <v>62.184773559999996</v>
      </c>
      <c r="H8" s="16">
        <v>2.09651364</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43.35860186</v>
      </c>
      <c r="F9" s="16">
        <v>2.1822115800000002</v>
      </c>
      <c r="G9" s="14">
        <v>56.64139814</v>
      </c>
      <c r="H9" s="16">
        <v>2.1822115800000002</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31.3162229</v>
      </c>
      <c r="F10" s="16">
        <v>1.5175807299999999</v>
      </c>
      <c r="G10" s="14">
        <v>68.6837771</v>
      </c>
      <c r="H10" s="16">
        <v>1.5175807299999999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47.707819489999999</v>
      </c>
      <c r="F11" s="16">
        <v>2.4118304799999999</v>
      </c>
      <c r="G11" s="14">
        <v>52.292180510000001</v>
      </c>
      <c r="H11" s="16">
        <v>2.4118304799999999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34.682497640000001</v>
      </c>
      <c r="F12" s="16">
        <v>2.4071969499999999</v>
      </c>
      <c r="G12" s="14">
        <v>65.317502360000006</v>
      </c>
      <c r="H12" s="16">
        <v>2.4071969499999999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34.85307822</v>
      </c>
      <c r="F13" s="16">
        <v>3.0654668200000001</v>
      </c>
      <c r="G13" s="14">
        <v>65.14692178</v>
      </c>
      <c r="H13" s="16">
        <v>3.0654668200000001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29.804063490000001</v>
      </c>
      <c r="F14" s="16">
        <v>2.2401837499999999</v>
      </c>
      <c r="G14" s="14">
        <v>70.195936509999996</v>
      </c>
      <c r="H14" s="16">
        <v>2.2401837499999999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30.886135070000002</v>
      </c>
      <c r="F15" s="16">
        <v>2.3148435799999998</v>
      </c>
      <c r="G15" s="14">
        <v>69.113864930000005</v>
      </c>
      <c r="H15" s="16">
        <v>2.3148435799999998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41.835823830000002</v>
      </c>
      <c r="F16" s="16">
        <v>1.9804531999999999</v>
      </c>
      <c r="G16" s="14">
        <v>58.164176169999998</v>
      </c>
      <c r="H16" s="16">
        <v>1.9804531999999999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36.541798540000002</v>
      </c>
      <c r="F17" s="16">
        <v>2.3170103800000001</v>
      </c>
      <c r="G17" s="14">
        <v>63.458201459999998</v>
      </c>
      <c r="H17" s="16">
        <v>2.3170103800000001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44.366075039999998</v>
      </c>
      <c r="F18" s="16">
        <v>2.53028261</v>
      </c>
      <c r="G18" s="14">
        <v>55.633924960000002</v>
      </c>
      <c r="H18" s="16">
        <v>2.53028261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44.679382070000003</v>
      </c>
      <c r="F19" s="16">
        <v>2.7980616199999999</v>
      </c>
      <c r="G19" s="14">
        <v>55.320617929999997</v>
      </c>
      <c r="H19" s="16">
        <v>2.7980616199999999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43.346011490000002</v>
      </c>
      <c r="F20" s="16">
        <v>2.9565725500000002</v>
      </c>
      <c r="G20" s="14">
        <v>56.653988509999998</v>
      </c>
      <c r="H20" s="16">
        <v>2.9565725500000002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42.518221240000003</v>
      </c>
      <c r="F22" s="16">
        <v>2.0685536500000001</v>
      </c>
      <c r="G22" s="14">
        <v>57.481778759999997</v>
      </c>
      <c r="H22" s="16">
        <v>2.0685536500000001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36.438377969999998</v>
      </c>
      <c r="F23" s="16">
        <v>2.2284207399999998</v>
      </c>
      <c r="G23" s="14">
        <v>63.561622030000002</v>
      </c>
      <c r="H23" s="16">
        <v>2.2284207399999998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29.66118664</v>
      </c>
      <c r="F24" s="16">
        <v>1.9934771</v>
      </c>
      <c r="G24" s="14">
        <v>70.338813360000003</v>
      </c>
      <c r="H24" s="16">
        <v>1.9934771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18.588794</v>
      </c>
      <c r="F25" s="16">
        <v>1.9387110700000001</v>
      </c>
      <c r="G25" s="14">
        <v>81.411206000000007</v>
      </c>
      <c r="H25" s="16">
        <v>1.9387110700000001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51.055515300000003</v>
      </c>
      <c r="F26" s="16">
        <v>2.6230946999999998</v>
      </c>
      <c r="G26" s="14">
        <v>48.944484699999997</v>
      </c>
      <c r="H26" s="16">
        <v>2.6230946999999998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43.119745559999998</v>
      </c>
      <c r="F27" s="16">
        <v>2.4739511300000001</v>
      </c>
      <c r="G27" s="14">
        <v>56.880254440000002</v>
      </c>
      <c r="H27" s="16">
        <v>2.4739511300000001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44.751468840000001</v>
      </c>
      <c r="F28" s="16">
        <v>2.41014638</v>
      </c>
      <c r="G28" s="14">
        <v>55.248531159999999</v>
      </c>
      <c r="H28" s="16">
        <v>2.41014638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35.312096519999997</v>
      </c>
      <c r="F29" s="16">
        <v>2.2275516999999998</v>
      </c>
      <c r="G29" s="14">
        <v>64.687903480000003</v>
      </c>
      <c r="H29" s="16">
        <v>2.2275516999999998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35.749164550000003</v>
      </c>
      <c r="F30" s="16">
        <v>2.36838346</v>
      </c>
      <c r="G30" s="14">
        <v>64.250835449999997</v>
      </c>
      <c r="H30" s="16">
        <v>2.36838346</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35.345289809999997</v>
      </c>
      <c r="F31" s="16">
        <v>2.11086471</v>
      </c>
      <c r="G31" s="14">
        <v>64.654710190000003</v>
      </c>
      <c r="H31" s="16">
        <v>2.11086471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46.569442250000002</v>
      </c>
      <c r="F33" s="16">
        <v>2.5191071599999999</v>
      </c>
      <c r="G33" s="14">
        <v>53.430557749999998</v>
      </c>
      <c r="H33" s="16">
        <v>2.5191071599999999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43.618845970000002</v>
      </c>
      <c r="F34" s="16">
        <v>2.28822956</v>
      </c>
      <c r="G34" s="14">
        <v>56.381154029999998</v>
      </c>
      <c r="H34" s="16">
        <v>2.28822956</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37.733525710000002</v>
      </c>
      <c r="F35" s="16">
        <v>2.3292898900000001</v>
      </c>
      <c r="G35" s="14">
        <v>62.266474289999998</v>
      </c>
      <c r="H35" s="16">
        <v>2.3292898900000001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34.071300239999999</v>
      </c>
      <c r="F36" s="16">
        <v>1.8863660799999999</v>
      </c>
      <c r="G36" s="14">
        <v>65.928699760000001</v>
      </c>
      <c r="H36" s="16">
        <v>1.8863660799999999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30.142769049999998</v>
      </c>
      <c r="F37" s="16">
        <v>2.4274426899999999</v>
      </c>
      <c r="G37" s="14">
        <v>69.857230950000002</v>
      </c>
      <c r="H37" s="16">
        <v>2.4274426899999999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48.149266009999998</v>
      </c>
      <c r="F39" s="16">
        <v>2.75410851</v>
      </c>
      <c r="G39" s="14">
        <v>51.850733990000002</v>
      </c>
      <c r="H39" s="16">
        <v>2.75410851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36.782727080000001</v>
      </c>
      <c r="F40" s="16">
        <v>2.1060291000000002</v>
      </c>
      <c r="G40" s="14">
        <v>63.217272919999999</v>
      </c>
      <c r="H40" s="16">
        <v>2.1060291000000002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32.911763710000002</v>
      </c>
      <c r="F41" s="16">
        <v>2.09003067</v>
      </c>
      <c r="G41" s="14">
        <v>67.088236289999998</v>
      </c>
      <c r="H41" s="16">
        <v>2.09003067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38.018991291250011</v>
      </c>
      <c r="F42" s="16">
        <f>IF(COUNT(F7:F41) &gt; 0, SQRT(SUMSQ(F7:F41)/(COUNT(F7:F41)*COUNT(F7:F41)) ), "—")</f>
        <v>0.40841355772421167</v>
      </c>
      <c r="G42" s="14">
        <f>IF(COUNT(G7:G41) &gt; 0, AVERAGE(G7:G41), "—")</f>
        <v>61.981008708749997</v>
      </c>
      <c r="H42" s="16">
        <f>IF(COUNT(H7:H41) &gt; 0, SQRT(SUMSQ(H7:H41)/(COUNT(H7:H41)*COUNT(H7:H41)) ), "—")</f>
        <v>0.40841355772421167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62.422637029999997</v>
      </c>
      <c r="F46" s="16">
        <v>1.5596129400000001</v>
      </c>
      <c r="G46" s="14">
        <v>37.577362970000003</v>
      </c>
      <c r="H46" s="16">
        <v>1.5596129400000001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45.957016969999998</v>
      </c>
      <c r="F47" s="16">
        <v>2.4355810199999999</v>
      </c>
      <c r="G47" s="14">
        <v>54.042983030000002</v>
      </c>
      <c r="H47" s="16">
        <v>2.4355810199999999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36.282533460000003</v>
      </c>
      <c r="F48" s="16">
        <v>2.1256971099999999</v>
      </c>
      <c r="G48" s="14">
        <v>63.717466539999997</v>
      </c>
      <c r="H48" s="16">
        <v>2.1256971099999999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49.973316670000003</v>
      </c>
      <c r="F50" s="16">
        <v>2.5043190499999999</v>
      </c>
      <c r="G50" s="14">
        <v>50.026683329999997</v>
      </c>
      <c r="H50" s="16">
        <v>2.5043190499999999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50.304881549999998</v>
      </c>
      <c r="F51" s="16">
        <v>2.9069976</v>
      </c>
      <c r="G51" s="14">
        <v>49.695118450000002</v>
      </c>
      <c r="H51" s="16">
        <v>2.9069976</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56.683096519999999</v>
      </c>
      <c r="F52" s="16">
        <v>2.3257239799999998</v>
      </c>
      <c r="G52" s="14">
        <v>43.316903480000001</v>
      </c>
      <c r="H52" s="16">
        <v>2.3257239799999998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47.848159260000003</v>
      </c>
      <c r="F53" s="16">
        <v>2.2496421099999999</v>
      </c>
      <c r="G53" s="14">
        <v>52.151840739999997</v>
      </c>
      <c r="H53" s="16">
        <v>2.2496421099999999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26.820757839999999</v>
      </c>
      <c r="F56" s="16">
        <v>2.1604193600000001</v>
      </c>
      <c r="G56" s="14">
        <v>73.179242160000001</v>
      </c>
      <c r="H56" s="16">
        <v>2.1604193600000001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47.155116489999997</v>
      </c>
      <c r="F61" s="16">
        <v>2.4737185500000001</v>
      </c>
      <c r="G61" s="14">
        <v>52.844883510000003</v>
      </c>
      <c r="H61" s="16">
        <v>2.4737185500000001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37.735121849999999</v>
      </c>
      <c r="F62" s="16">
        <v>2.5365951999999998</v>
      </c>
      <c r="G62" s="14">
        <v>62.264878150000001</v>
      </c>
      <c r="H62" s="16">
        <v>2.5365951999999998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57.362883199999999</v>
      </c>
      <c r="F66" s="16">
        <v>2.0894590599999998</v>
      </c>
      <c r="G66" s="14">
        <v>42.637116800000001</v>
      </c>
      <c r="H66" s="16">
        <v>2.0894590599999998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58.701140029999998</v>
      </c>
      <c r="F67" s="16">
        <v>1.8388783099999999</v>
      </c>
      <c r="G67" s="14">
        <v>41.298859970000002</v>
      </c>
      <c r="H67" s="16">
        <v>1.8388783099999999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39.455845029999999</v>
      </c>
      <c r="F70" s="16">
        <v>2.4327666899999998</v>
      </c>
      <c r="G70" s="14">
        <v>60.544154970000001</v>
      </c>
      <c r="H70" s="16">
        <v>2.4327666899999998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26.820709000000001</v>
      </c>
      <c r="F72" s="16">
        <v>1.7808492199999999</v>
      </c>
      <c r="G72" s="14">
        <v>73.179291000000006</v>
      </c>
      <c r="H72" s="16">
        <v>1.7808492199999999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40.743020899999998</v>
      </c>
      <c r="F73" s="16">
        <v>2.72330009</v>
      </c>
      <c r="G73" s="14">
        <v>59.256979100000002</v>
      </c>
      <c r="H73" s="16">
        <v>2.72330009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71.832071839999998</v>
      </c>
      <c r="F75" s="16">
        <v>2.3947919299999998</v>
      </c>
      <c r="G75" s="14">
        <v>28.167928159999999</v>
      </c>
      <c r="H75" s="16">
        <v>2.3947919299999998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52.446365800000002</v>
      </c>
      <c r="F76" s="16">
        <v>1.6061779899999999</v>
      </c>
      <c r="G76" s="14">
        <v>47.553634199999998</v>
      </c>
      <c r="H76" s="16">
        <v>1.6061779899999999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47.32703274</v>
      </c>
      <c r="F77" s="16">
        <v>2.2383657600000002</v>
      </c>
      <c r="G77" s="14">
        <v>52.67296726</v>
      </c>
      <c r="H77" s="16">
        <v>2.2383657600000002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52.01433291</v>
      </c>
      <c r="F81" s="16">
        <v>2.1646848300000001</v>
      </c>
      <c r="G81" s="14">
        <v>47.98566709</v>
      </c>
      <c r="H81" s="16">
        <v>2.1646848300000001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29.929144340000001</v>
      </c>
      <c r="F7" s="16">
        <v>1.5147133399999999</v>
      </c>
      <c r="G7" s="14">
        <v>70.070855660000007</v>
      </c>
      <c r="H7" s="16">
        <v>1.5147133399999999</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32.450271030000003</v>
      </c>
      <c r="F8" s="16">
        <v>2.2712035500000001</v>
      </c>
      <c r="G8" s="14">
        <v>67.549728970000004</v>
      </c>
      <c r="H8" s="16">
        <v>2.2712035500000001</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30.81938276</v>
      </c>
      <c r="F9" s="16">
        <v>1.72422341</v>
      </c>
      <c r="G9" s="14">
        <v>69.180617240000004</v>
      </c>
      <c r="H9" s="16">
        <v>1.72422341</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30.810687649999998</v>
      </c>
      <c r="F10" s="16">
        <v>1.47013562</v>
      </c>
      <c r="G10" s="14">
        <v>69.189312349999994</v>
      </c>
      <c r="H10" s="16">
        <v>1.47013562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30.291659930000002</v>
      </c>
      <c r="F11" s="16">
        <v>2.3596017599999999</v>
      </c>
      <c r="G11" s="14">
        <v>69.708340070000006</v>
      </c>
      <c r="H11" s="16">
        <v>2.3596017599999999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32.631372929999998</v>
      </c>
      <c r="F12" s="16">
        <v>2.0426245299999999</v>
      </c>
      <c r="G12" s="14">
        <v>67.368627070000002</v>
      </c>
      <c r="H12" s="16">
        <v>2.0426245299999999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33.4645644</v>
      </c>
      <c r="F13" s="16">
        <v>2.4147193499999999</v>
      </c>
      <c r="G13" s="14">
        <v>66.5354356</v>
      </c>
      <c r="H13" s="16">
        <v>2.4147193499999999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29.415252429999999</v>
      </c>
      <c r="F14" s="16">
        <v>2.24622068</v>
      </c>
      <c r="G14" s="14">
        <v>70.584747570000005</v>
      </c>
      <c r="H14" s="16">
        <v>2.24622068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30.575692239999999</v>
      </c>
      <c r="F15" s="16">
        <v>2.43794785</v>
      </c>
      <c r="G15" s="14">
        <v>69.424307760000005</v>
      </c>
      <c r="H15" s="16">
        <v>2.43794785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27.428153909999999</v>
      </c>
      <c r="F16" s="16">
        <v>2.2173610899999998</v>
      </c>
      <c r="G16" s="14">
        <v>72.571846089999994</v>
      </c>
      <c r="H16" s="16">
        <v>2.2173610899999998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31.562737120000001</v>
      </c>
      <c r="F17" s="16">
        <v>2.1367643799999998</v>
      </c>
      <c r="G17" s="14">
        <v>68.437262880000006</v>
      </c>
      <c r="H17" s="16">
        <v>2.1367643799999998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43.973147079999997</v>
      </c>
      <c r="F18" s="16">
        <v>2.5812679100000002</v>
      </c>
      <c r="G18" s="14">
        <v>56.026852920000003</v>
      </c>
      <c r="H18" s="16">
        <v>2.5812679100000002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30.823704899999999</v>
      </c>
      <c r="F19" s="16">
        <v>2.25041146</v>
      </c>
      <c r="G19" s="14">
        <v>69.176295100000004</v>
      </c>
      <c r="H19" s="16">
        <v>2.25041146</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35.673882069999998</v>
      </c>
      <c r="F20" s="16">
        <v>2.8651475400000002</v>
      </c>
      <c r="G20" s="14">
        <v>64.326117929999995</v>
      </c>
      <c r="H20" s="16">
        <v>2.8651475400000002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38.903629590000001</v>
      </c>
      <c r="F22" s="16">
        <v>2.0944765900000002</v>
      </c>
      <c r="G22" s="14">
        <v>61.096370409999999</v>
      </c>
      <c r="H22" s="16">
        <v>2.0944765900000002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35.869641399999999</v>
      </c>
      <c r="F23" s="16">
        <v>2.0086922</v>
      </c>
      <c r="G23" s="14">
        <v>64.130358599999994</v>
      </c>
      <c r="H23" s="16">
        <v>2.0086922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32.900028759999998</v>
      </c>
      <c r="F24" s="16">
        <v>2.0356004799999998</v>
      </c>
      <c r="G24" s="14">
        <v>67.099971240000002</v>
      </c>
      <c r="H24" s="16">
        <v>2.0356004799999998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23.01558966</v>
      </c>
      <c r="F25" s="16">
        <v>1.51236583</v>
      </c>
      <c r="G25" s="14">
        <v>76.984410339999997</v>
      </c>
      <c r="H25" s="16">
        <v>1.51236583</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35.482406259999998</v>
      </c>
      <c r="F26" s="16">
        <v>2.1021799900000002</v>
      </c>
      <c r="G26" s="14">
        <v>64.517593739999995</v>
      </c>
      <c r="H26" s="16">
        <v>2.1021799900000002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34.141925299999997</v>
      </c>
      <c r="F27" s="16">
        <v>2.14799797</v>
      </c>
      <c r="G27" s="14">
        <v>65.858074700000003</v>
      </c>
      <c r="H27" s="16">
        <v>2.14799797</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36.401753499999998</v>
      </c>
      <c r="F28" s="16">
        <v>2.1137363499999999</v>
      </c>
      <c r="G28" s="14">
        <v>63.598246500000002</v>
      </c>
      <c r="H28" s="16">
        <v>2.1137363499999999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29.141554289999998</v>
      </c>
      <c r="F29" s="16">
        <v>2.18647831</v>
      </c>
      <c r="G29" s="14">
        <v>70.858445709999998</v>
      </c>
      <c r="H29" s="16">
        <v>2.18647831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32.80436692</v>
      </c>
      <c r="F30" s="16">
        <v>2.2902094200000001</v>
      </c>
      <c r="G30" s="14">
        <v>67.195633079999993</v>
      </c>
      <c r="H30" s="16">
        <v>2.2902094200000001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26.842110210000001</v>
      </c>
      <c r="F31" s="16">
        <v>1.9497904800000001</v>
      </c>
      <c r="G31" s="14">
        <v>73.157889789999999</v>
      </c>
      <c r="H31" s="16">
        <v>1.9497904800000001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36.438339650000003</v>
      </c>
      <c r="F33" s="16">
        <v>2.1880633999999999</v>
      </c>
      <c r="G33" s="14">
        <v>63.561660349999997</v>
      </c>
      <c r="H33" s="16">
        <v>2.1880633999999999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36.163289290000002</v>
      </c>
      <c r="F34" s="16">
        <v>2.09762278</v>
      </c>
      <c r="G34" s="14">
        <v>63.836710709999998</v>
      </c>
      <c r="H34" s="16">
        <v>2.09762278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36.578640129999997</v>
      </c>
      <c r="F35" s="16">
        <v>2.2146857099999999</v>
      </c>
      <c r="G35" s="14">
        <v>63.421359870000003</v>
      </c>
      <c r="H35" s="16">
        <v>2.2146857099999999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30.045681689999999</v>
      </c>
      <c r="F36" s="16">
        <v>2.1626750299999999</v>
      </c>
      <c r="G36" s="14">
        <v>69.954318310000005</v>
      </c>
      <c r="H36" s="16">
        <v>2.1626750299999999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32.095138470000002</v>
      </c>
      <c r="F37" s="16">
        <v>2.089464</v>
      </c>
      <c r="G37" s="14">
        <v>67.904861530000005</v>
      </c>
      <c r="H37" s="16">
        <v>2.089464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30.688789369999999</v>
      </c>
      <c r="F39" s="16">
        <v>2.5038663300000001</v>
      </c>
      <c r="G39" s="14">
        <v>69.311210630000005</v>
      </c>
      <c r="H39" s="16">
        <v>2.5038663300000001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30.868375069999999</v>
      </c>
      <c r="F40" s="16">
        <v>2.0765817800000002</v>
      </c>
      <c r="G40" s="14">
        <v>69.131624930000001</v>
      </c>
      <c r="H40" s="16">
        <v>2.0765817800000002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29.441219419999999</v>
      </c>
      <c r="F41" s="16">
        <v>2.7155911700000002</v>
      </c>
      <c r="G41" s="14">
        <v>70.558780580000004</v>
      </c>
      <c r="H41" s="16">
        <v>2.7155911700000002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32.427254117812502</v>
      </c>
      <c r="F42" s="16">
        <f>IF(COUNT(F7:F41) &gt; 0, SQRT(SUMSQ(F7:F41)/(COUNT(F7:F41)*COUNT(F7:F41)) ), "—")</f>
        <v>0.38507079208817441</v>
      </c>
      <c r="G42" s="14">
        <f>IF(COUNT(G7:G41) &gt; 0, AVERAGE(G7:G41), "—")</f>
        <v>67.572745882187505</v>
      </c>
      <c r="H42" s="16">
        <f>IF(COUNT(H7:H41) &gt; 0, SQRT(SUMSQ(H7:H41)/(COUNT(H7:H41)*COUNT(H7:H41)) ), "—")</f>
        <v>0.38507079208817441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43.413841320000003</v>
      </c>
      <c r="F46" s="16">
        <v>1.7144881700000001</v>
      </c>
      <c r="G46" s="14">
        <v>56.586158679999997</v>
      </c>
      <c r="H46" s="16">
        <v>1.7144881700000001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40.794172949999997</v>
      </c>
      <c r="F47" s="16">
        <v>2.3087027400000002</v>
      </c>
      <c r="G47" s="14">
        <v>59.205827050000003</v>
      </c>
      <c r="H47" s="16">
        <v>2.3087027400000002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31.526688289999999</v>
      </c>
      <c r="F48" s="16">
        <v>1.8605231099999999</v>
      </c>
      <c r="G48" s="14">
        <v>68.473311710000004</v>
      </c>
      <c r="H48" s="16">
        <v>1.8605231099999999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36.464037820000001</v>
      </c>
      <c r="F50" s="16">
        <v>1.9507916000000001</v>
      </c>
      <c r="G50" s="14">
        <v>63.535962179999999</v>
      </c>
      <c r="H50" s="16">
        <v>1.9507916000000001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32.894123469999997</v>
      </c>
      <c r="F51" s="16">
        <v>2.0478817</v>
      </c>
      <c r="G51" s="14">
        <v>67.105876530000003</v>
      </c>
      <c r="H51" s="16">
        <v>2.0478817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35.780976899999999</v>
      </c>
      <c r="F52" s="16">
        <v>2.24721912</v>
      </c>
      <c r="G52" s="14">
        <v>64.219023100000001</v>
      </c>
      <c r="H52" s="16">
        <v>2.24721912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42.706371840000003</v>
      </c>
      <c r="F53" s="16">
        <v>2.4305285699999999</v>
      </c>
      <c r="G53" s="14">
        <v>57.293628159999997</v>
      </c>
      <c r="H53" s="16">
        <v>2.4305285699999999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34.274529010000002</v>
      </c>
      <c r="F56" s="16">
        <v>2.43602126</v>
      </c>
      <c r="G56" s="14">
        <v>65.725470990000005</v>
      </c>
      <c r="H56" s="16">
        <v>2.43602126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41.286830889999997</v>
      </c>
      <c r="F61" s="16">
        <v>2.4496699899999999</v>
      </c>
      <c r="G61" s="14">
        <v>58.713169110000003</v>
      </c>
      <c r="H61" s="16">
        <v>2.4496699899999999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34.229908109999997</v>
      </c>
      <c r="F62" s="16">
        <v>2.5672936499999999</v>
      </c>
      <c r="G62" s="14">
        <v>65.770091890000003</v>
      </c>
      <c r="H62" s="16">
        <v>2.5672936499999999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39.380291370000002</v>
      </c>
      <c r="F66" s="16">
        <v>2.3669256000000001</v>
      </c>
      <c r="G66" s="14">
        <v>60.619708629999998</v>
      </c>
      <c r="H66" s="16">
        <v>2.3669256000000001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41.016463039999998</v>
      </c>
      <c r="F67" s="16">
        <v>1.89543868</v>
      </c>
      <c r="G67" s="14">
        <v>58.983536960000002</v>
      </c>
      <c r="H67" s="16">
        <v>1.89543868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29.753234169999999</v>
      </c>
      <c r="F70" s="16">
        <v>2.61547873</v>
      </c>
      <c r="G70" s="14">
        <v>70.246765830000001</v>
      </c>
      <c r="H70" s="16">
        <v>2.61547873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32.033159429999998</v>
      </c>
      <c r="F72" s="16">
        <v>2.22007288</v>
      </c>
      <c r="G72" s="14">
        <v>67.966840570000002</v>
      </c>
      <c r="H72" s="16">
        <v>2.22007288</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51.185805889999997</v>
      </c>
      <c r="F73" s="16">
        <v>2.35459314</v>
      </c>
      <c r="G73" s="14">
        <v>48.814194110000003</v>
      </c>
      <c r="H73" s="16">
        <v>2.35459314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50.238005170000001</v>
      </c>
      <c r="F75" s="16">
        <v>2.23185564</v>
      </c>
      <c r="G75" s="14">
        <v>49.761994829999999</v>
      </c>
      <c r="H75" s="16">
        <v>2.23185564</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41.06868429</v>
      </c>
      <c r="F76" s="16">
        <v>1.73052318</v>
      </c>
      <c r="G76" s="14">
        <v>58.93131571</v>
      </c>
      <c r="H76" s="16">
        <v>1.73052318</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30.331743710000001</v>
      </c>
      <c r="F77" s="16">
        <v>1.9680274</v>
      </c>
      <c r="G77" s="14">
        <v>69.668256290000002</v>
      </c>
      <c r="H77" s="16">
        <v>1.9680274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46.30999534</v>
      </c>
      <c r="F81" s="16">
        <v>2.5705759499999998</v>
      </c>
      <c r="G81" s="14">
        <v>53.69000466</v>
      </c>
      <c r="H81" s="16">
        <v>2.5705759499999998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(6120/B7*100)</f>
        <v>83.073164110221256</v>
      </c>
      <c r="D7" s="15">
        <v>1247</v>
      </c>
      <c r="E7" s="14">
        <v>13.5876848</v>
      </c>
      <c r="F7" s="16">
        <v>1.1647708400000001</v>
      </c>
      <c r="G7" s="14">
        <v>86.412315199999995</v>
      </c>
      <c r="H7" s="16">
        <v>1.1647708400000001</v>
      </c>
      <c r="I7" s="14" t="s">
        <v>139</v>
      </c>
      <c r="J7" s="16" t="s">
        <v>139</v>
      </c>
      <c r="K7" s="14">
        <v>0</v>
      </c>
      <c r="L7" s="16">
        <v>0</v>
      </c>
      <c r="M7" s="14">
        <v>0</v>
      </c>
      <c r="N7" s="16">
        <v>0</v>
      </c>
      <c r="O7" s="14">
        <v>0</v>
      </c>
      <c r="P7" s="16">
        <v>0</v>
      </c>
      <c r="Q7" s="14">
        <v>0</v>
      </c>
      <c r="R7" s="16">
        <v>0</v>
      </c>
    </row>
    <row r="8" spans="1:18" x14ac:dyDescent="0.25">
      <c r="A8" s="11" t="s">
        <v>140</v>
      </c>
      <c r="B8" s="13">
        <v>3564</v>
      </c>
      <c r="C8" s="14">
        <f>(2932/B8*100)</f>
        <v>82.267115600448932</v>
      </c>
      <c r="D8" s="15">
        <v>632</v>
      </c>
      <c r="E8" s="14">
        <v>19.575720449999999</v>
      </c>
      <c r="F8" s="16">
        <v>2.0535287900000001</v>
      </c>
      <c r="G8" s="14">
        <v>80.424279549999994</v>
      </c>
      <c r="H8" s="16">
        <v>2.0535287900000001</v>
      </c>
      <c r="I8" s="14" t="s">
        <v>139</v>
      </c>
      <c r="J8" s="16" t="s">
        <v>139</v>
      </c>
      <c r="K8" s="14">
        <v>0</v>
      </c>
      <c r="L8" s="16">
        <v>0</v>
      </c>
      <c r="M8" s="14">
        <v>0</v>
      </c>
      <c r="N8" s="16">
        <v>0</v>
      </c>
      <c r="O8" s="14">
        <v>0</v>
      </c>
      <c r="P8" s="16">
        <v>0</v>
      </c>
      <c r="Q8" s="14">
        <v>0</v>
      </c>
      <c r="R8" s="16">
        <v>0</v>
      </c>
    </row>
    <row r="9" spans="1:18" x14ac:dyDescent="0.25">
      <c r="A9" s="11" t="s">
        <v>141</v>
      </c>
      <c r="B9" s="13">
        <v>4899</v>
      </c>
      <c r="C9" s="14">
        <f>(4121/B9*100)</f>
        <v>84.119208001632984</v>
      </c>
      <c r="D9" s="15">
        <v>778</v>
      </c>
      <c r="E9" s="14">
        <v>21.517837440000001</v>
      </c>
      <c r="F9" s="16">
        <v>1.6506740200000001</v>
      </c>
      <c r="G9" s="14">
        <v>78.482162560000006</v>
      </c>
      <c r="H9" s="16">
        <v>1.6506740200000001</v>
      </c>
      <c r="I9" s="14" t="s">
        <v>139</v>
      </c>
      <c r="J9" s="16" t="s">
        <v>139</v>
      </c>
      <c r="K9" s="14">
        <v>0</v>
      </c>
      <c r="L9" s="16">
        <v>0</v>
      </c>
      <c r="M9" s="14">
        <v>0</v>
      </c>
      <c r="N9" s="16">
        <v>0</v>
      </c>
      <c r="O9" s="14">
        <v>0</v>
      </c>
      <c r="P9" s="16">
        <v>0</v>
      </c>
      <c r="Q9" s="14">
        <v>0</v>
      </c>
      <c r="R9" s="16">
        <v>0</v>
      </c>
    </row>
    <row r="10" spans="1:18" x14ac:dyDescent="0.25">
      <c r="A10" s="11" t="s">
        <v>142</v>
      </c>
      <c r="B10" s="13">
        <v>10036</v>
      </c>
      <c r="C10" s="14">
        <f>(8322/B10*100)</f>
        <v>82.921482662415301</v>
      </c>
      <c r="D10" s="15">
        <v>1714</v>
      </c>
      <c r="E10" s="14">
        <v>11.86663824</v>
      </c>
      <c r="F10" s="16">
        <v>1.0475104</v>
      </c>
      <c r="G10" s="14">
        <v>88.13336176</v>
      </c>
      <c r="H10" s="16">
        <v>1.0475104</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(2940/B11*100)</f>
        <v>82.746974387841263</v>
      </c>
      <c r="D11" s="15">
        <v>613</v>
      </c>
      <c r="E11" s="14">
        <v>21.282400079999999</v>
      </c>
      <c r="F11" s="16">
        <v>2.0759524900000002</v>
      </c>
      <c r="G11" s="14">
        <v>78.717599919999998</v>
      </c>
      <c r="H11" s="16">
        <v>2.0759524900000002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(2868/B12*100)</f>
        <v>82.603686635944698</v>
      </c>
      <c r="D12" s="15">
        <v>604</v>
      </c>
      <c r="E12" s="14">
        <v>24.713501730000001</v>
      </c>
      <c r="F12" s="16">
        <v>1.9339975899999999</v>
      </c>
      <c r="G12" s="14">
        <v>75.286498269999996</v>
      </c>
      <c r="H12" s="16">
        <v>1.9339975899999999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(2983/B13*100)</f>
        <v>83.815678561393653</v>
      </c>
      <c r="D13" s="15">
        <v>576</v>
      </c>
      <c r="E13" s="14">
        <v>13.4703722</v>
      </c>
      <c r="F13" s="16">
        <v>1.9695252400000001</v>
      </c>
      <c r="G13" s="14">
        <v>86.5296278</v>
      </c>
      <c r="H13" s="16">
        <v>1.9695252400000001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(2316/B14*100)</f>
        <v>82.743837084673103</v>
      </c>
      <c r="D14" s="15">
        <v>483</v>
      </c>
      <c r="E14" s="14">
        <v>21.10086858</v>
      </c>
      <c r="F14" s="16">
        <v>2.2095989899999999</v>
      </c>
      <c r="G14" s="14">
        <v>78.899131420000003</v>
      </c>
      <c r="H14" s="16">
        <v>2.2095989899999999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16.024256749999999</v>
      </c>
      <c r="F15" s="16">
        <v>1.8752165000000001</v>
      </c>
      <c r="G15" s="14">
        <v>83.975743249999994</v>
      </c>
      <c r="H15" s="16">
        <v>1.8752165000000001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(2486/B16*100)</f>
        <v>82.949616282949606</v>
      </c>
      <c r="D16" s="15">
        <v>511</v>
      </c>
      <c r="E16" s="14">
        <v>22.69624159</v>
      </c>
      <c r="F16" s="16">
        <v>1.9333825600000001</v>
      </c>
      <c r="G16" s="14">
        <v>77.30375841</v>
      </c>
      <c r="H16" s="16">
        <v>1.9333825600000001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(2767/B17*100)</f>
        <v>83.671000907166615</v>
      </c>
      <c r="D17" s="15">
        <v>540</v>
      </c>
      <c r="E17" s="14">
        <v>20.023010630000002</v>
      </c>
      <c r="F17" s="16">
        <v>1.7545690599999999</v>
      </c>
      <c r="G17" s="14">
        <v>79.976989369999998</v>
      </c>
      <c r="H17" s="16">
        <v>1.7545690599999999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(2332/B18*100)</f>
        <v>82.519462137296529</v>
      </c>
      <c r="D18" s="15">
        <v>494</v>
      </c>
      <c r="E18" s="14">
        <v>36.508622840000001</v>
      </c>
      <c r="F18" s="16">
        <v>2.5479891499999998</v>
      </c>
      <c r="G18" s="14">
        <v>63.491377159999999</v>
      </c>
      <c r="H18" s="16">
        <v>2.5479891499999998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23.897590109999999</v>
      </c>
      <c r="F19" s="16">
        <v>2.4383689300000002</v>
      </c>
      <c r="G19" s="14">
        <v>76.102409890000004</v>
      </c>
      <c r="H19" s="16">
        <v>2.4383689300000002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(1347/B20*100)</f>
        <v>82.638036809815958</v>
      </c>
      <c r="D20" s="15">
        <v>283</v>
      </c>
      <c r="E20" s="14">
        <v>16.12728916</v>
      </c>
      <c r="F20" s="16">
        <v>2.4541886000000002</v>
      </c>
      <c r="G20" s="14">
        <v>83.872710839999996</v>
      </c>
      <c r="H20" s="16">
        <v>2.4541886000000002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(2448/B22*100)</f>
        <v>83.520982599795289</v>
      </c>
      <c r="D22" s="15">
        <v>483</v>
      </c>
      <c r="E22" s="14">
        <v>27.625404419999999</v>
      </c>
      <c r="F22" s="16">
        <v>2.2548901899999998</v>
      </c>
      <c r="G22" s="14">
        <v>72.374595580000005</v>
      </c>
      <c r="H22" s="16">
        <v>2.2548901899999998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19.08345752</v>
      </c>
      <c r="F23" s="16">
        <v>2.0500151199999999</v>
      </c>
      <c r="G23" s="14">
        <v>80.916542480000004</v>
      </c>
      <c r="H23" s="16">
        <v>2.0500151199999999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17.308627869999999</v>
      </c>
      <c r="F24" s="16">
        <v>1.5783497500000001</v>
      </c>
      <c r="G24" s="14">
        <v>82.691372130000005</v>
      </c>
      <c r="H24" s="16">
        <v>1.5783497500000001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20.467440719999999</v>
      </c>
      <c r="F25" s="16">
        <v>1.8435870700000001</v>
      </c>
      <c r="G25" s="14">
        <v>79.532559280000001</v>
      </c>
      <c r="H25" s="16">
        <v>1.8435870700000001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(2010/B26*100)</f>
        <v>82.040816326530603</v>
      </c>
      <c r="D26" s="15">
        <v>440</v>
      </c>
      <c r="E26" s="14">
        <v>26.582955630000001</v>
      </c>
      <c r="F26" s="16">
        <v>2.2998712800000001</v>
      </c>
      <c r="G26" s="14">
        <v>73.417044369999999</v>
      </c>
      <c r="H26" s="16">
        <v>2.2998712800000001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(2158/B27*100)</f>
        <v>82.49235474006116</v>
      </c>
      <c r="D27" s="15">
        <v>458</v>
      </c>
      <c r="E27" s="14">
        <v>25.33897971</v>
      </c>
      <c r="F27" s="16">
        <v>1.9030798799999999</v>
      </c>
      <c r="G27" s="14">
        <v>74.661020289999996</v>
      </c>
      <c r="H27" s="16">
        <v>1.9030798799999999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(3127/B28*100)</f>
        <v>83.054448871181947</v>
      </c>
      <c r="D28" s="15">
        <v>638</v>
      </c>
      <c r="E28" s="14">
        <v>23.96027076</v>
      </c>
      <c r="F28" s="16">
        <v>2.1176917300000002</v>
      </c>
      <c r="G28" s="14">
        <v>76.03972924</v>
      </c>
      <c r="H28" s="16">
        <v>2.1176917300000002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24.403964240000001</v>
      </c>
      <c r="F29" s="16">
        <v>1.99582137</v>
      </c>
      <c r="G29" s="14">
        <v>75.596035760000007</v>
      </c>
      <c r="H29" s="16">
        <v>1.99582137</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(1868/B30*100)</f>
        <v>82.545293857711002</v>
      </c>
      <c r="D30" s="15">
        <v>395</v>
      </c>
      <c r="E30" s="14">
        <v>11.21340519</v>
      </c>
      <c r="F30" s="16">
        <v>1.2827207899999999</v>
      </c>
      <c r="G30" s="14">
        <v>88.786594809999997</v>
      </c>
      <c r="H30" s="16">
        <v>1.2827207899999999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(2289/B31*100)</f>
        <v>83.236363636363649</v>
      </c>
      <c r="D31" s="15">
        <v>461</v>
      </c>
      <c r="E31" s="14">
        <v>15.498456470000001</v>
      </c>
      <c r="F31" s="16">
        <v>1.52193248</v>
      </c>
      <c r="G31" s="14">
        <v>84.501543530000006</v>
      </c>
      <c r="H31" s="16">
        <v>1.52193248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(3064/B33*100)</f>
        <v>83.396842678279796</v>
      </c>
      <c r="D33" s="15">
        <v>610</v>
      </c>
      <c r="E33" s="14">
        <v>18.997313980000001</v>
      </c>
      <c r="F33" s="16">
        <v>1.9996315600000001</v>
      </c>
      <c r="G33" s="14">
        <v>81.002686019999999</v>
      </c>
      <c r="H33" s="16">
        <v>1.9996315600000001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(2748/B34*100)</f>
        <v>82.895927601809959</v>
      </c>
      <c r="D34" s="15">
        <v>567</v>
      </c>
      <c r="E34" s="14">
        <v>23.952353710000001</v>
      </c>
      <c r="F34" s="16">
        <v>1.87288776</v>
      </c>
      <c r="G34" s="14">
        <v>76.047646290000003</v>
      </c>
      <c r="H34" s="16">
        <v>1.87288776</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(2905/B35*100)</f>
        <v>82.881597717546356</v>
      </c>
      <c r="D35" s="15">
        <v>600</v>
      </c>
      <c r="E35" s="14">
        <v>19.823537170000002</v>
      </c>
      <c r="F35" s="16">
        <v>1.75520367</v>
      </c>
      <c r="G35" s="14">
        <v>80.176462830000006</v>
      </c>
      <c r="H35" s="16">
        <v>1.75520367</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(2759/B36*100)</f>
        <v>82.803121248499394</v>
      </c>
      <c r="D36" s="15">
        <v>573</v>
      </c>
      <c r="E36" s="14">
        <v>18.813073289999998</v>
      </c>
      <c r="F36" s="16">
        <v>1.7607291599999999</v>
      </c>
      <c r="G36" s="14">
        <v>81.186926709999995</v>
      </c>
      <c r="H36" s="16">
        <v>1.7607291599999999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(2262/B37*100)</f>
        <v>82.948294829482947</v>
      </c>
      <c r="D37" s="15">
        <v>465</v>
      </c>
      <c r="E37" s="14">
        <v>19.340879080000001</v>
      </c>
      <c r="F37" s="16">
        <v>2.0374316700000001</v>
      </c>
      <c r="G37" s="14">
        <v>80.659120920000007</v>
      </c>
      <c r="H37" s="16">
        <v>2.0374316700000001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(2458/B39*100)</f>
        <v>83.124788637132227</v>
      </c>
      <c r="D39" s="15">
        <v>499</v>
      </c>
      <c r="E39" s="14">
        <v>30.241738489999999</v>
      </c>
      <c r="F39" s="16">
        <v>2.75890002</v>
      </c>
      <c r="G39" s="14">
        <v>69.758261509999997</v>
      </c>
      <c r="H39" s="16">
        <v>2.75890002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11.360032670000001</v>
      </c>
      <c r="F40" s="16">
        <v>1.35460409</v>
      </c>
      <c r="G40" s="14">
        <v>88.639967330000005</v>
      </c>
      <c r="H40" s="16">
        <v>1.35460409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9.4989124700000005</v>
      </c>
      <c r="F41" s="16">
        <v>1.14523504</v>
      </c>
      <c r="G41" s="14">
        <v>90.501087530000007</v>
      </c>
      <c r="H41" s="16">
        <v>1.14523504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82.953148098499796</v>
      </c>
      <c r="D42" s="15">
        <f>IF(COUNT(D7:D41) &gt; 0, AVERAGE(D7:D41), "—")</f>
        <v>622.375</v>
      </c>
      <c r="E42" s="14">
        <f>IF(COUNT(E7:E41) &gt; 0, AVERAGE(E7:E41), "—")</f>
        <v>20.184463687187506</v>
      </c>
      <c r="F42" s="16">
        <f>IF(COUNT(F7:F41) &gt; 0, SQRT(SUMSQ(F7:F41)/(COUNT(F7:F41)*COUNT(F7:F41)) ), "—")</f>
        <v>0.34249046110219528</v>
      </c>
      <c r="G42" s="14">
        <f>IF(COUNT(G7:G41) &gt; 0, AVERAGE(G7:G41), "—")</f>
        <v>79.815536312812512</v>
      </c>
      <c r="H42" s="16">
        <f>IF(COUNT(H7:H41) &gt; 0, SQRT(SUMSQ(H7:H41)/(COUNT(H7:H41)*COUNT(H7:H41)) ), "—")</f>
        <v>0.34249046110219528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(9438/B46*100)</f>
        <v>85.272858691723883</v>
      </c>
      <c r="D46" s="15">
        <v>1630</v>
      </c>
      <c r="E46" s="14">
        <v>38.08310152</v>
      </c>
      <c r="F46" s="16">
        <v>1.5072303600000001</v>
      </c>
      <c r="G46" s="14">
        <v>61.91689848</v>
      </c>
      <c r="H46" s="16">
        <v>1.5072303600000001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(2566/B47*100)</f>
        <v>82.640901771336544</v>
      </c>
      <c r="D47" s="15">
        <v>539</v>
      </c>
      <c r="E47" s="14">
        <v>32.409861399999997</v>
      </c>
      <c r="F47" s="16">
        <v>2.6193065</v>
      </c>
      <c r="G47" s="14">
        <v>67.590138600000003</v>
      </c>
      <c r="H47" s="16">
        <v>2.6193065</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(4288/B48*100)</f>
        <v>83.116883116883116</v>
      </c>
      <c r="D48" s="15">
        <v>871</v>
      </c>
      <c r="E48" s="14">
        <v>23.184562979999999</v>
      </c>
      <c r="F48" s="16">
        <v>1.8333103900000001</v>
      </c>
      <c r="G48" s="14">
        <v>76.815437020000005</v>
      </c>
      <c r="H48" s="16">
        <v>1.8333103900000001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(4674/B50*100)</f>
        <v>82.91644491750931</v>
      </c>
      <c r="D50" s="15">
        <v>963</v>
      </c>
      <c r="E50" s="14">
        <v>31.156547450000001</v>
      </c>
      <c r="F50" s="16">
        <v>2.1750604600000001</v>
      </c>
      <c r="G50" s="14">
        <v>68.843452549999995</v>
      </c>
      <c r="H50" s="16">
        <v>2.1750604600000001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22.757004429999999</v>
      </c>
      <c r="F51" s="16">
        <v>2.1777055399999998</v>
      </c>
      <c r="G51" s="14">
        <v>77.242995570000005</v>
      </c>
      <c r="H51" s="16">
        <v>2.1777055399999998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(2306/B52*100)</f>
        <v>82.474964234620884</v>
      </c>
      <c r="D52" s="15">
        <v>490</v>
      </c>
      <c r="E52" s="14">
        <v>26.42242959</v>
      </c>
      <c r="F52" s="16">
        <v>1.9181334400000001</v>
      </c>
      <c r="G52" s="14">
        <v>73.577570410000007</v>
      </c>
      <c r="H52" s="16">
        <v>1.9181334400000001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33.850876419999999</v>
      </c>
      <c r="F53" s="16">
        <v>2.25469572</v>
      </c>
      <c r="G53" s="14">
        <v>66.149123579999994</v>
      </c>
      <c r="H53" s="16">
        <v>2.25469572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16.41382699</v>
      </c>
      <c r="F56" s="16">
        <v>1.7476883000000001</v>
      </c>
      <c r="G56" s="14">
        <v>83.586173009999996</v>
      </c>
      <c r="H56" s="16">
        <v>1.7476883000000001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(2741/B61*100)</f>
        <v>82.46089049338147</v>
      </c>
      <c r="D61" s="15">
        <v>583</v>
      </c>
      <c r="E61" s="14">
        <v>27.502847039999999</v>
      </c>
      <c r="F61" s="16">
        <v>2.18568644</v>
      </c>
      <c r="G61" s="14">
        <v>72.497152959999994</v>
      </c>
      <c r="H61" s="16">
        <v>2.18568644</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18.989593960000001</v>
      </c>
      <c r="F62" s="16">
        <v>2.1085410000000002</v>
      </c>
      <c r="G62" s="14">
        <v>81.010406040000007</v>
      </c>
      <c r="H62" s="16">
        <v>2.1085410000000002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(2398/B66*100)</f>
        <v>82.861091914305462</v>
      </c>
      <c r="D66" s="15">
        <v>496</v>
      </c>
      <c r="E66" s="14">
        <v>32.290827980000003</v>
      </c>
      <c r="F66" s="16">
        <v>2.2064384399999999</v>
      </c>
      <c r="G66" s="14">
        <v>67.709172019999997</v>
      </c>
      <c r="H66" s="16">
        <v>2.2064384399999999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30.288109890000001</v>
      </c>
      <c r="F67" s="16">
        <v>2.0595933099999999</v>
      </c>
      <c r="G67" s="14">
        <v>69.711890109999999</v>
      </c>
      <c r="H67" s="16">
        <v>2.0595933099999999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(2424/B70*100)</f>
        <v>82.758620689655174</v>
      </c>
      <c r="D70" s="15">
        <v>505</v>
      </c>
      <c r="E70" s="14">
        <v>23.58446069</v>
      </c>
      <c r="F70" s="16">
        <v>2.11005866</v>
      </c>
      <c r="G70" s="14">
        <v>76.41553931</v>
      </c>
      <c r="H70" s="16">
        <v>2.11005866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20.99061923</v>
      </c>
      <c r="F72" s="16">
        <v>1.60353379</v>
      </c>
      <c r="G72" s="14">
        <v>79.009380770000007</v>
      </c>
      <c r="H72" s="16">
        <v>1.60353379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25.329673270000001</v>
      </c>
      <c r="F73" s="16">
        <v>2.0047632499999999</v>
      </c>
      <c r="G73" s="14">
        <v>74.670326729999999</v>
      </c>
      <c r="H73" s="16">
        <v>2.0047632499999999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(2017/B75*100)</f>
        <v>83.832086450540316</v>
      </c>
      <c r="D75" s="15">
        <v>389</v>
      </c>
      <c r="E75" s="14">
        <v>40.011961749999998</v>
      </c>
      <c r="F75" s="16">
        <v>2.56882798</v>
      </c>
      <c r="G75" s="14">
        <v>59.988038250000002</v>
      </c>
      <c r="H75" s="16">
        <v>2.56882798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(5870/B76*100)</f>
        <v>83.238797504254109</v>
      </c>
      <c r="D76" s="15">
        <v>1182</v>
      </c>
      <c r="E76" s="14">
        <v>28.040700139999998</v>
      </c>
      <c r="F76" s="16">
        <v>1.51279816</v>
      </c>
      <c r="G76" s="14">
        <v>71.959299860000002</v>
      </c>
      <c r="H76" s="16">
        <v>1.51279816</v>
      </c>
      <c r="I76" s="14" t="s">
        <v>139</v>
      </c>
      <c r="J76" s="16" t="s">
        <v>139</v>
      </c>
      <c r="K76" s="14">
        <v>0</v>
      </c>
      <c r="L76" s="16">
        <v>0</v>
      </c>
      <c r="M76" s="14">
        <v>0</v>
      </c>
      <c r="N76" s="16">
        <v>0</v>
      </c>
      <c r="O76" s="14">
        <v>0</v>
      </c>
      <c r="P76" s="16">
        <v>0</v>
      </c>
      <c r="Q76" s="14">
        <v>0</v>
      </c>
      <c r="R76" s="16">
        <v>0</v>
      </c>
    </row>
    <row r="77" spans="1:18" x14ac:dyDescent="0.25">
      <c r="A77" s="11" t="s">
        <v>210</v>
      </c>
      <c r="B77" s="13">
        <v>2908</v>
      </c>
      <c r="C77" s="14">
        <f>(2394/B77*100)</f>
        <v>82.324621733149925</v>
      </c>
      <c r="D77" s="15">
        <v>514</v>
      </c>
      <c r="E77" s="14">
        <v>26.22463836</v>
      </c>
      <c r="F77" s="16">
        <v>1.81949688</v>
      </c>
      <c r="G77" s="14">
        <v>73.77536164</v>
      </c>
      <c r="H77" s="16">
        <v>1.81949688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(3430/B81*100)</f>
        <v>82.392505404756193</v>
      </c>
      <c r="D81" s="15">
        <v>733</v>
      </c>
      <c r="E81" s="14">
        <v>26.94513465</v>
      </c>
      <c r="F81" s="16">
        <v>2.12981489</v>
      </c>
      <c r="G81" s="14">
        <v>73.05486535</v>
      </c>
      <c r="H81" s="16">
        <v>2.12981489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229</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230</v>
      </c>
      <c r="F4" s="24"/>
      <c r="G4" s="23" t="s">
        <v>231</v>
      </c>
      <c r="H4" s="24"/>
      <c r="I4" s="23" t="s">
        <v>232</v>
      </c>
      <c r="J4" s="24"/>
      <c r="K4" s="23" t="s">
        <v>233</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(6126/B7*100)</f>
        <v>83.154608388760693</v>
      </c>
      <c r="D7" s="15">
        <v>1241</v>
      </c>
      <c r="E7" s="14">
        <v>4.4422521399999999</v>
      </c>
      <c r="F7" s="16">
        <v>0.54943173000000001</v>
      </c>
      <c r="G7" s="14">
        <v>16.85378686</v>
      </c>
      <c r="H7" s="16">
        <v>1.2231837000000001</v>
      </c>
      <c r="I7" s="14">
        <v>31.425923480000002</v>
      </c>
      <c r="J7" s="16">
        <v>1.51634878</v>
      </c>
      <c r="K7" s="14">
        <v>47.278037519999998</v>
      </c>
      <c r="L7" s="16">
        <v>1.61368431</v>
      </c>
      <c r="M7" s="14" t="s">
        <v>139</v>
      </c>
      <c r="N7" s="16" t="s">
        <v>139</v>
      </c>
      <c r="O7" s="14">
        <v>0</v>
      </c>
      <c r="P7" s="16">
        <v>0</v>
      </c>
      <c r="Q7" s="14">
        <v>0</v>
      </c>
      <c r="R7" s="16">
        <v>0</v>
      </c>
      <c r="S7" s="14">
        <v>0</v>
      </c>
      <c r="T7" s="16">
        <v>0</v>
      </c>
      <c r="U7" s="14">
        <v>0</v>
      </c>
      <c r="V7" s="16">
        <v>0</v>
      </c>
    </row>
    <row r="8" spans="1:22" x14ac:dyDescent="0.25">
      <c r="A8" s="11" t="s">
        <v>140</v>
      </c>
      <c r="B8" s="13">
        <v>3564</v>
      </c>
      <c r="C8" s="14">
        <f>(2934/B8*100)</f>
        <v>82.323232323232318</v>
      </c>
      <c r="D8" s="15">
        <v>630</v>
      </c>
      <c r="E8" s="14">
        <v>6.7859367400000004</v>
      </c>
      <c r="F8" s="16">
        <v>1.1754042600000001</v>
      </c>
      <c r="G8" s="14">
        <v>19.033854689999998</v>
      </c>
      <c r="H8" s="16">
        <v>1.4714587699999999</v>
      </c>
      <c r="I8" s="14">
        <v>28.72916919</v>
      </c>
      <c r="J8" s="16">
        <v>2.0040464</v>
      </c>
      <c r="K8" s="14">
        <v>45.451039369999997</v>
      </c>
      <c r="L8" s="16">
        <v>2.1286333900000001</v>
      </c>
      <c r="M8" s="14" t="s">
        <v>139</v>
      </c>
      <c r="N8" s="16" t="s">
        <v>139</v>
      </c>
      <c r="O8" s="14">
        <v>0</v>
      </c>
      <c r="P8" s="16">
        <v>0</v>
      </c>
      <c r="Q8" s="14">
        <v>0</v>
      </c>
      <c r="R8" s="16">
        <v>0</v>
      </c>
      <c r="S8" s="14">
        <v>0</v>
      </c>
      <c r="T8" s="16">
        <v>0</v>
      </c>
      <c r="U8" s="14">
        <v>0</v>
      </c>
      <c r="V8" s="16">
        <v>0</v>
      </c>
    </row>
    <row r="9" spans="1:22" x14ac:dyDescent="0.25">
      <c r="A9" s="11" t="s">
        <v>141</v>
      </c>
      <c r="B9" s="13">
        <v>4899</v>
      </c>
      <c r="C9" s="14">
        <f>(4123/B9*100)</f>
        <v>84.160032659726483</v>
      </c>
      <c r="D9" s="15">
        <v>776</v>
      </c>
      <c r="E9" s="14">
        <v>7.4632447300000004</v>
      </c>
      <c r="F9" s="16">
        <v>0.93393409000000005</v>
      </c>
      <c r="G9" s="14">
        <v>22.27513695</v>
      </c>
      <c r="H9" s="16">
        <v>1.58178456</v>
      </c>
      <c r="I9" s="14">
        <v>23.644723930000001</v>
      </c>
      <c r="J9" s="16">
        <v>1.44943304</v>
      </c>
      <c r="K9" s="14">
        <v>46.616894389999999</v>
      </c>
      <c r="L9" s="16">
        <v>2.0038305300000001</v>
      </c>
      <c r="M9" s="14" t="s">
        <v>139</v>
      </c>
      <c r="N9" s="16" t="s">
        <v>139</v>
      </c>
      <c r="O9" s="14">
        <v>0</v>
      </c>
      <c r="P9" s="16">
        <v>0</v>
      </c>
      <c r="Q9" s="14">
        <v>0</v>
      </c>
      <c r="R9" s="16">
        <v>0</v>
      </c>
      <c r="S9" s="14">
        <v>0</v>
      </c>
      <c r="T9" s="16">
        <v>0</v>
      </c>
      <c r="U9" s="14">
        <v>0</v>
      </c>
      <c r="V9" s="16">
        <v>0</v>
      </c>
    </row>
    <row r="10" spans="1:22" x14ac:dyDescent="0.25">
      <c r="A10" s="11" t="s">
        <v>142</v>
      </c>
      <c r="B10" s="13">
        <v>10036</v>
      </c>
      <c r="C10" s="14">
        <f>(8327/B10*100)</f>
        <v>82.971303308090867</v>
      </c>
      <c r="D10" s="15">
        <v>1709</v>
      </c>
      <c r="E10" s="14">
        <v>4.1101035899999996</v>
      </c>
      <c r="F10" s="16">
        <v>0.67912939999999999</v>
      </c>
      <c r="G10" s="14">
        <v>17.783421919999999</v>
      </c>
      <c r="H10" s="16">
        <v>1.3467183599999999</v>
      </c>
      <c r="I10" s="14">
        <v>27.682147220000001</v>
      </c>
      <c r="J10" s="16">
        <v>1.4187924000000001</v>
      </c>
      <c r="K10" s="14">
        <v>50.424327269999999</v>
      </c>
      <c r="L10" s="16">
        <v>1.6145161800000001</v>
      </c>
      <c r="M10" s="14" t="s">
        <v>139</v>
      </c>
      <c r="N10" s="16" t="s">
        <v>139</v>
      </c>
      <c r="O10" s="14">
        <v>0</v>
      </c>
      <c r="P10" s="16">
        <v>0</v>
      </c>
      <c r="Q10" s="14">
        <v>0</v>
      </c>
      <c r="R10" s="16">
        <v>0</v>
      </c>
      <c r="S10" s="14">
        <v>0</v>
      </c>
      <c r="T10" s="16">
        <v>0</v>
      </c>
      <c r="U10" s="14">
        <v>0</v>
      </c>
      <c r="V10" s="16">
        <v>0</v>
      </c>
    </row>
    <row r="11" spans="1:22" x14ac:dyDescent="0.25">
      <c r="A11" s="11" t="s">
        <v>143</v>
      </c>
      <c r="B11" s="13">
        <v>3553</v>
      </c>
      <c r="C11" s="14">
        <f>(2953/B11*100)</f>
        <v>83.112862369828306</v>
      </c>
      <c r="D11" s="15">
        <v>600</v>
      </c>
      <c r="E11" s="14">
        <v>6.5666414099999999</v>
      </c>
      <c r="F11" s="16">
        <v>1.6721673399999999</v>
      </c>
      <c r="G11" s="14">
        <v>27.002187710000001</v>
      </c>
      <c r="H11" s="16">
        <v>2.3679090700000001</v>
      </c>
      <c r="I11" s="14">
        <v>31.90906742</v>
      </c>
      <c r="J11" s="16">
        <v>2.2218228999999998</v>
      </c>
      <c r="K11" s="14">
        <v>34.522103459999997</v>
      </c>
      <c r="L11" s="16">
        <v>2.5466833699999998</v>
      </c>
      <c r="M11" s="14" t="s">
        <v>139</v>
      </c>
      <c r="N11" s="16" t="s">
        <v>139</v>
      </c>
      <c r="O11" s="14">
        <v>0</v>
      </c>
      <c r="P11" s="16">
        <v>0</v>
      </c>
      <c r="Q11" s="14">
        <v>0</v>
      </c>
      <c r="R11" s="16">
        <v>0</v>
      </c>
      <c r="S11" s="14">
        <v>0</v>
      </c>
      <c r="T11" s="16">
        <v>0</v>
      </c>
      <c r="U11" s="14">
        <v>0</v>
      </c>
      <c r="V11" s="16">
        <v>0</v>
      </c>
    </row>
    <row r="12" spans="1:22" x14ac:dyDescent="0.25">
      <c r="A12" s="11" t="s">
        <v>144</v>
      </c>
      <c r="B12" s="13">
        <v>3472</v>
      </c>
      <c r="C12" s="14">
        <f>(2872/B12*100)</f>
        <v>82.718894009216598</v>
      </c>
      <c r="D12" s="15">
        <v>600</v>
      </c>
      <c r="E12" s="14">
        <v>7.2637678399999999</v>
      </c>
      <c r="F12" s="16">
        <v>1.2536145000000001</v>
      </c>
      <c r="G12" s="14">
        <v>18.83688721</v>
      </c>
      <c r="H12" s="16">
        <v>2.37749561</v>
      </c>
      <c r="I12" s="14">
        <v>26.54078359</v>
      </c>
      <c r="J12" s="16">
        <v>1.7671133800000001</v>
      </c>
      <c r="K12" s="14">
        <v>47.358561360000003</v>
      </c>
      <c r="L12" s="16">
        <v>2.6989901500000002</v>
      </c>
      <c r="M12" s="14" t="s">
        <v>139</v>
      </c>
      <c r="N12" s="16" t="s">
        <v>139</v>
      </c>
      <c r="O12" s="14">
        <v>0</v>
      </c>
      <c r="P12" s="16">
        <v>0</v>
      </c>
      <c r="Q12" s="14">
        <v>0</v>
      </c>
      <c r="R12" s="16">
        <v>0</v>
      </c>
      <c r="S12" s="14">
        <v>0</v>
      </c>
      <c r="T12" s="16">
        <v>0</v>
      </c>
      <c r="U12" s="14">
        <v>0</v>
      </c>
      <c r="V12" s="16">
        <v>0</v>
      </c>
    </row>
    <row r="13" spans="1:22" x14ac:dyDescent="0.25">
      <c r="A13" s="11" t="s">
        <v>145</v>
      </c>
      <c r="B13" s="13">
        <v>3559</v>
      </c>
      <c r="C13" s="14">
        <f>(2986/B13*100)</f>
        <v>83.899971902219733</v>
      </c>
      <c r="D13" s="15">
        <v>573</v>
      </c>
      <c r="E13" s="14">
        <v>5.6245748200000003</v>
      </c>
      <c r="F13" s="16">
        <v>1.1736734099999999</v>
      </c>
      <c r="G13" s="14">
        <v>16.885584829999999</v>
      </c>
      <c r="H13" s="16">
        <v>1.9560526199999999</v>
      </c>
      <c r="I13" s="14">
        <v>29.236850239999999</v>
      </c>
      <c r="J13" s="16">
        <v>2.3718507400000002</v>
      </c>
      <c r="K13" s="14">
        <v>48.252990109999999</v>
      </c>
      <c r="L13" s="16">
        <v>2.0753400700000002</v>
      </c>
      <c r="M13" s="14" t="s">
        <v>139</v>
      </c>
      <c r="N13" s="16" t="s">
        <v>139</v>
      </c>
      <c r="O13" s="14">
        <v>0</v>
      </c>
      <c r="P13" s="16">
        <v>0</v>
      </c>
      <c r="Q13" s="14">
        <v>0</v>
      </c>
      <c r="R13" s="16">
        <v>0</v>
      </c>
      <c r="S13" s="14">
        <v>0</v>
      </c>
      <c r="T13" s="16">
        <v>0</v>
      </c>
      <c r="U13" s="14">
        <v>0</v>
      </c>
      <c r="V13" s="16">
        <v>0</v>
      </c>
    </row>
    <row r="14" spans="1:22" x14ac:dyDescent="0.25">
      <c r="A14" s="11" t="s">
        <v>146</v>
      </c>
      <c r="B14" s="13">
        <v>2799</v>
      </c>
      <c r="C14" s="14">
        <f>(2317/B14*100)</f>
        <v>82.779564130046452</v>
      </c>
      <c r="D14" s="15">
        <v>482</v>
      </c>
      <c r="E14" s="14">
        <v>1.7775688999999999</v>
      </c>
      <c r="F14" s="16">
        <v>0.53276831999999996</v>
      </c>
      <c r="G14" s="14">
        <v>13.901003830000001</v>
      </c>
      <c r="H14" s="16">
        <v>1.7508742900000001</v>
      </c>
      <c r="I14" s="14">
        <v>30.845642860000002</v>
      </c>
      <c r="J14" s="16">
        <v>2.3703939900000002</v>
      </c>
      <c r="K14" s="14">
        <v>53.475784410000003</v>
      </c>
      <c r="L14" s="16">
        <v>2.3442190599999999</v>
      </c>
      <c r="M14" s="14" t="s">
        <v>139</v>
      </c>
      <c r="N14" s="16" t="s">
        <v>139</v>
      </c>
      <c r="O14" s="14">
        <v>0</v>
      </c>
      <c r="P14" s="16">
        <v>0</v>
      </c>
      <c r="Q14" s="14">
        <v>0</v>
      </c>
      <c r="R14" s="16">
        <v>0</v>
      </c>
      <c r="S14" s="14">
        <v>0</v>
      </c>
      <c r="T14" s="16">
        <v>0</v>
      </c>
      <c r="U14" s="14">
        <v>0</v>
      </c>
      <c r="V14" s="16">
        <v>0</v>
      </c>
    </row>
    <row r="15" spans="1:22" x14ac:dyDescent="0.25">
      <c r="A15" s="11" t="s">
        <v>147</v>
      </c>
      <c r="B15" s="13">
        <v>3019</v>
      </c>
      <c r="C15" s="14">
        <f>(2521/B15*100)</f>
        <v>83.504471679364016</v>
      </c>
      <c r="D15" s="15">
        <v>498</v>
      </c>
      <c r="E15" s="14">
        <v>2.84475093</v>
      </c>
      <c r="F15" s="16">
        <v>0.78909910000000005</v>
      </c>
      <c r="G15" s="14">
        <v>20.125719050000001</v>
      </c>
      <c r="H15" s="16">
        <v>1.89763013</v>
      </c>
      <c r="I15" s="14">
        <v>29.264146190000002</v>
      </c>
      <c r="J15" s="16">
        <v>2.0921060900000001</v>
      </c>
      <c r="K15" s="14">
        <v>47.765383829999998</v>
      </c>
      <c r="L15" s="16">
        <v>2.1724017999999998</v>
      </c>
      <c r="M15" s="14" t="s">
        <v>139</v>
      </c>
      <c r="N15" s="16" t="s">
        <v>139</v>
      </c>
      <c r="O15" s="14">
        <v>0</v>
      </c>
      <c r="P15" s="16">
        <v>0</v>
      </c>
      <c r="Q15" s="14">
        <v>0</v>
      </c>
      <c r="R15" s="16">
        <v>0</v>
      </c>
      <c r="S15" s="14">
        <v>0</v>
      </c>
      <c r="T15" s="16">
        <v>0</v>
      </c>
      <c r="U15" s="14">
        <v>0</v>
      </c>
      <c r="V15" s="16">
        <v>0</v>
      </c>
    </row>
    <row r="16" spans="1:22" x14ac:dyDescent="0.25">
      <c r="A16" s="11" t="s">
        <v>148</v>
      </c>
      <c r="B16" s="13">
        <v>2997</v>
      </c>
      <c r="C16" s="14">
        <f>(2491/B16*100)</f>
        <v>83.116449783116451</v>
      </c>
      <c r="D16" s="15">
        <v>506</v>
      </c>
      <c r="E16" s="14">
        <v>8.5638084800000005</v>
      </c>
      <c r="F16" s="16">
        <v>1.1561203</v>
      </c>
      <c r="G16" s="14">
        <v>20.375172460000002</v>
      </c>
      <c r="H16" s="16">
        <v>1.3999866700000001</v>
      </c>
      <c r="I16" s="14">
        <v>26.919460470000001</v>
      </c>
      <c r="J16" s="16">
        <v>1.90052679</v>
      </c>
      <c r="K16" s="14">
        <v>44.141558590000002</v>
      </c>
      <c r="L16" s="16">
        <v>1.98484124</v>
      </c>
      <c r="M16" s="14" t="s">
        <v>139</v>
      </c>
      <c r="N16" s="16" t="s">
        <v>139</v>
      </c>
      <c r="O16" s="14">
        <v>0</v>
      </c>
      <c r="P16" s="16">
        <v>0</v>
      </c>
      <c r="Q16" s="14">
        <v>0</v>
      </c>
      <c r="R16" s="16">
        <v>0</v>
      </c>
      <c r="S16" s="14">
        <v>0</v>
      </c>
      <c r="T16" s="16">
        <v>0</v>
      </c>
      <c r="U16" s="14">
        <v>0</v>
      </c>
      <c r="V16" s="16">
        <v>0</v>
      </c>
    </row>
    <row r="17" spans="1:22" x14ac:dyDescent="0.25">
      <c r="A17" s="11" t="s">
        <v>149</v>
      </c>
      <c r="B17" s="13">
        <v>3307</v>
      </c>
      <c r="C17" s="14">
        <f>(2768/B17*100)</f>
        <v>83.701239794375567</v>
      </c>
      <c r="D17" s="15">
        <v>539</v>
      </c>
      <c r="E17" s="14">
        <v>4.9497338700000002</v>
      </c>
      <c r="F17" s="16">
        <v>0.87012310999999998</v>
      </c>
      <c r="G17" s="14">
        <v>16.666081770000002</v>
      </c>
      <c r="H17" s="16">
        <v>1.4055087399999999</v>
      </c>
      <c r="I17" s="14">
        <v>27.215079679999999</v>
      </c>
      <c r="J17" s="16">
        <v>2.1254347299999998</v>
      </c>
      <c r="K17" s="14">
        <v>51.169104679999997</v>
      </c>
      <c r="L17" s="16">
        <v>2.2508758699999998</v>
      </c>
      <c r="M17" s="14" t="s">
        <v>139</v>
      </c>
      <c r="N17" s="16" t="s">
        <v>139</v>
      </c>
      <c r="O17" s="14">
        <v>0</v>
      </c>
      <c r="P17" s="16">
        <v>0</v>
      </c>
      <c r="Q17" s="14">
        <v>0</v>
      </c>
      <c r="R17" s="16">
        <v>0</v>
      </c>
      <c r="S17" s="14">
        <v>0</v>
      </c>
      <c r="T17" s="16">
        <v>0</v>
      </c>
      <c r="U17" s="14">
        <v>0</v>
      </c>
      <c r="V17" s="16">
        <v>0</v>
      </c>
    </row>
    <row r="18" spans="1:22" x14ac:dyDescent="0.25">
      <c r="A18" s="11" t="s">
        <v>150</v>
      </c>
      <c r="B18" s="13">
        <v>2826</v>
      </c>
      <c r="C18" s="14">
        <f>(2334/B18*100)</f>
        <v>82.590233545647564</v>
      </c>
      <c r="D18" s="15">
        <v>492</v>
      </c>
      <c r="E18" s="14">
        <v>8.2485855699999995</v>
      </c>
      <c r="F18" s="16">
        <v>1.4839005599999999</v>
      </c>
      <c r="G18" s="14">
        <v>25.975301640000001</v>
      </c>
      <c r="H18" s="16">
        <v>1.9636034099999999</v>
      </c>
      <c r="I18" s="14">
        <v>34.936977489999997</v>
      </c>
      <c r="J18" s="16">
        <v>2.3231397999999999</v>
      </c>
      <c r="K18" s="14">
        <v>30.839135290000002</v>
      </c>
      <c r="L18" s="16">
        <v>2.1787420399999999</v>
      </c>
      <c r="M18" s="14" t="s">
        <v>139</v>
      </c>
      <c r="N18" s="16" t="s">
        <v>139</v>
      </c>
      <c r="O18" s="14">
        <v>0</v>
      </c>
      <c r="P18" s="16">
        <v>0</v>
      </c>
      <c r="Q18" s="14">
        <v>0</v>
      </c>
      <c r="R18" s="16">
        <v>0</v>
      </c>
      <c r="S18" s="14">
        <v>0</v>
      </c>
      <c r="T18" s="16">
        <v>0</v>
      </c>
      <c r="U18" s="14">
        <v>0</v>
      </c>
      <c r="V18" s="16">
        <v>0</v>
      </c>
    </row>
    <row r="19" spans="1:22" x14ac:dyDescent="0.25">
      <c r="A19" s="11" t="s">
        <v>151</v>
      </c>
      <c r="B19" s="13">
        <v>2808</v>
      </c>
      <c r="C19" s="14">
        <f>(2333/B19*100)</f>
        <v>83.084045584045583</v>
      </c>
      <c r="D19" s="15">
        <v>475</v>
      </c>
      <c r="E19" s="14">
        <v>7.6961555800000001</v>
      </c>
      <c r="F19" s="16">
        <v>1.6106199000000001</v>
      </c>
      <c r="G19" s="14">
        <v>25.554027609999999</v>
      </c>
      <c r="H19" s="16">
        <v>2.31913854</v>
      </c>
      <c r="I19" s="14">
        <v>30.248477659999999</v>
      </c>
      <c r="J19" s="16">
        <v>2.4697891699999999</v>
      </c>
      <c r="K19" s="14">
        <v>36.50133915</v>
      </c>
      <c r="L19" s="16">
        <v>2.5616719899999998</v>
      </c>
      <c r="M19" s="14" t="s">
        <v>139</v>
      </c>
      <c r="N19" s="16" t="s">
        <v>139</v>
      </c>
      <c r="O19" s="14">
        <v>0</v>
      </c>
      <c r="P19" s="16">
        <v>0</v>
      </c>
      <c r="Q19" s="14">
        <v>0</v>
      </c>
      <c r="R19" s="16">
        <v>0</v>
      </c>
      <c r="S19" s="14">
        <v>0</v>
      </c>
      <c r="T19" s="16">
        <v>0</v>
      </c>
      <c r="U19" s="14">
        <v>0</v>
      </c>
      <c r="V19" s="16">
        <v>0</v>
      </c>
    </row>
    <row r="20" spans="1:22" x14ac:dyDescent="0.25">
      <c r="A20" s="11" t="s">
        <v>152</v>
      </c>
      <c r="B20" s="13">
        <v>1630</v>
      </c>
      <c r="C20" s="14">
        <f>(1348/B20*100)</f>
        <v>82.699386503067487</v>
      </c>
      <c r="D20" s="15">
        <v>282</v>
      </c>
      <c r="E20" s="14">
        <v>6.67564125</v>
      </c>
      <c r="F20" s="16">
        <v>1.6356416600000001</v>
      </c>
      <c r="G20" s="14">
        <v>19.292279350000001</v>
      </c>
      <c r="H20" s="16">
        <v>2.57463848</v>
      </c>
      <c r="I20" s="14">
        <v>26.855838909999999</v>
      </c>
      <c r="J20" s="16">
        <v>2.6751224900000001</v>
      </c>
      <c r="K20" s="14">
        <v>47.176240489999998</v>
      </c>
      <c r="L20" s="16">
        <v>3.0083520799999999</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(2452/B22*100)</f>
        <v>83.657454793585799</v>
      </c>
      <c r="D22" s="15">
        <v>479</v>
      </c>
      <c r="E22" s="14">
        <v>10.161327930000001</v>
      </c>
      <c r="F22" s="16">
        <v>1.30303316</v>
      </c>
      <c r="G22" s="14">
        <v>23.495980899999999</v>
      </c>
      <c r="H22" s="16">
        <v>2.33709217</v>
      </c>
      <c r="I22" s="14">
        <v>30.009778099999998</v>
      </c>
      <c r="J22" s="16">
        <v>2.4064790199999999</v>
      </c>
      <c r="K22" s="14">
        <v>36.332913069999996</v>
      </c>
      <c r="L22" s="16">
        <v>2.3578611899999999</v>
      </c>
      <c r="M22" s="14" t="s">
        <v>139</v>
      </c>
      <c r="N22" s="16" t="s">
        <v>139</v>
      </c>
      <c r="O22" s="14">
        <v>0</v>
      </c>
      <c r="P22" s="16">
        <v>0</v>
      </c>
      <c r="Q22" s="14">
        <v>0</v>
      </c>
      <c r="R22" s="16">
        <v>0</v>
      </c>
      <c r="S22" s="14">
        <v>0</v>
      </c>
      <c r="T22" s="16">
        <v>0</v>
      </c>
      <c r="U22" s="14">
        <v>0</v>
      </c>
      <c r="V22" s="16">
        <v>0</v>
      </c>
    </row>
    <row r="23" spans="1:22" x14ac:dyDescent="0.25">
      <c r="A23" s="11" t="s">
        <v>156</v>
      </c>
      <c r="B23" s="13">
        <v>5791</v>
      </c>
      <c r="C23" s="14">
        <f>(4811/B23*100)</f>
        <v>83.077188741150067</v>
      </c>
      <c r="D23" s="15">
        <v>980</v>
      </c>
      <c r="E23" s="14">
        <v>10.410350660000001</v>
      </c>
      <c r="F23" s="16">
        <v>1.2878335000000001</v>
      </c>
      <c r="G23" s="14">
        <v>21.34322942</v>
      </c>
      <c r="H23" s="16">
        <v>1.63373149</v>
      </c>
      <c r="I23" s="14">
        <v>28.991461260000001</v>
      </c>
      <c r="J23" s="16">
        <v>1.6968953499999999</v>
      </c>
      <c r="K23" s="14">
        <v>39.25495866</v>
      </c>
      <c r="L23" s="16">
        <v>1.97046598</v>
      </c>
      <c r="M23" s="14" t="s">
        <v>139</v>
      </c>
      <c r="N23" s="16" t="s">
        <v>139</v>
      </c>
      <c r="O23" s="14">
        <v>0</v>
      </c>
      <c r="P23" s="16">
        <v>0</v>
      </c>
      <c r="Q23" s="14">
        <v>0</v>
      </c>
      <c r="R23" s="16">
        <v>0</v>
      </c>
      <c r="S23" s="14">
        <v>0</v>
      </c>
      <c r="T23" s="16">
        <v>0</v>
      </c>
      <c r="U23" s="14">
        <v>0</v>
      </c>
      <c r="V23" s="16">
        <v>0</v>
      </c>
    </row>
    <row r="24" spans="1:22" x14ac:dyDescent="0.25">
      <c r="A24" s="11" t="s">
        <v>157</v>
      </c>
      <c r="B24" s="13">
        <v>3338</v>
      </c>
      <c r="C24" s="14">
        <f>(2746/B24*100)</f>
        <v>82.264829239065307</v>
      </c>
      <c r="D24" s="15">
        <v>592</v>
      </c>
      <c r="E24" s="14">
        <v>3.47545437</v>
      </c>
      <c r="F24" s="16">
        <v>0.80309664000000003</v>
      </c>
      <c r="G24" s="14">
        <v>9.5115403599999997</v>
      </c>
      <c r="H24" s="16">
        <v>1.23791176</v>
      </c>
      <c r="I24" s="14">
        <v>25.595517990000001</v>
      </c>
      <c r="J24" s="16">
        <v>1.8807639199999999</v>
      </c>
      <c r="K24" s="14">
        <v>61.417487280000003</v>
      </c>
      <c r="L24" s="16">
        <v>2.20535075</v>
      </c>
      <c r="M24" s="14" t="s">
        <v>139</v>
      </c>
      <c r="N24" s="16" t="s">
        <v>139</v>
      </c>
      <c r="O24" s="14">
        <v>0</v>
      </c>
      <c r="P24" s="16">
        <v>0</v>
      </c>
      <c r="Q24" s="14">
        <v>0</v>
      </c>
      <c r="R24" s="16">
        <v>0</v>
      </c>
      <c r="S24" s="14">
        <v>0</v>
      </c>
      <c r="T24" s="16">
        <v>0</v>
      </c>
      <c r="U24" s="14">
        <v>0</v>
      </c>
      <c r="V24" s="16">
        <v>0</v>
      </c>
    </row>
    <row r="25" spans="1:22" x14ac:dyDescent="0.25">
      <c r="A25" s="11" t="s">
        <v>158</v>
      </c>
      <c r="B25" s="13">
        <v>2912</v>
      </c>
      <c r="C25" s="14">
        <f>(2407/B25*100)</f>
        <v>82.657967032967022</v>
      </c>
      <c r="D25" s="15">
        <v>505</v>
      </c>
      <c r="E25" s="14">
        <v>4.9769385699999997</v>
      </c>
      <c r="F25" s="16">
        <v>1.06705699</v>
      </c>
      <c r="G25" s="14">
        <v>13.2653927</v>
      </c>
      <c r="H25" s="16">
        <v>1.39130073</v>
      </c>
      <c r="I25" s="14">
        <v>29.366894139999999</v>
      </c>
      <c r="J25" s="16">
        <v>2.2025970799999999</v>
      </c>
      <c r="K25" s="14">
        <v>52.390774589999999</v>
      </c>
      <c r="L25" s="16">
        <v>2.19664796</v>
      </c>
      <c r="M25" s="14" t="s">
        <v>139</v>
      </c>
      <c r="N25" s="16" t="s">
        <v>139</v>
      </c>
      <c r="O25" s="14">
        <v>0</v>
      </c>
      <c r="P25" s="16">
        <v>0</v>
      </c>
      <c r="Q25" s="14">
        <v>0</v>
      </c>
      <c r="R25" s="16">
        <v>0</v>
      </c>
      <c r="S25" s="14">
        <v>0</v>
      </c>
      <c r="T25" s="16">
        <v>0</v>
      </c>
      <c r="U25" s="14">
        <v>0</v>
      </c>
      <c r="V25" s="16">
        <v>0</v>
      </c>
    </row>
    <row r="26" spans="1:22" x14ac:dyDescent="0.25">
      <c r="A26" s="11" t="s">
        <v>159</v>
      </c>
      <c r="B26" s="13">
        <v>2450</v>
      </c>
      <c r="C26" s="14">
        <f>(2011/B26*100)</f>
        <v>82.08163265306122</v>
      </c>
      <c r="D26" s="15">
        <v>439</v>
      </c>
      <c r="E26" s="14">
        <v>8.2253685599999997</v>
      </c>
      <c r="F26" s="16">
        <v>1.39320972</v>
      </c>
      <c r="G26" s="14">
        <v>24.238235599999999</v>
      </c>
      <c r="H26" s="16">
        <v>2.0855805200000002</v>
      </c>
      <c r="I26" s="14">
        <v>31.454410769999999</v>
      </c>
      <c r="J26" s="16">
        <v>2.2221008599999998</v>
      </c>
      <c r="K26" s="14">
        <v>36.081985070000002</v>
      </c>
      <c r="L26" s="16">
        <v>2.4497310200000002</v>
      </c>
      <c r="M26" s="14" t="s">
        <v>139</v>
      </c>
      <c r="N26" s="16" t="s">
        <v>139</v>
      </c>
      <c r="O26" s="14">
        <v>0</v>
      </c>
      <c r="P26" s="16">
        <v>0</v>
      </c>
      <c r="Q26" s="14">
        <v>0</v>
      </c>
      <c r="R26" s="16">
        <v>0</v>
      </c>
      <c r="S26" s="14">
        <v>0</v>
      </c>
      <c r="T26" s="16">
        <v>0</v>
      </c>
      <c r="U26" s="14">
        <v>0</v>
      </c>
      <c r="V26" s="16">
        <v>0</v>
      </c>
    </row>
    <row r="27" spans="1:22" x14ac:dyDescent="0.25">
      <c r="A27" s="11" t="s">
        <v>160</v>
      </c>
      <c r="B27" s="13">
        <v>2616</v>
      </c>
      <c r="C27" s="14">
        <f>(2162/B27*100)</f>
        <v>82.645259938837924</v>
      </c>
      <c r="D27" s="15">
        <v>454</v>
      </c>
      <c r="E27" s="14">
        <v>9.0822821499999993</v>
      </c>
      <c r="F27" s="16">
        <v>1.4835907399999999</v>
      </c>
      <c r="G27" s="14">
        <v>22.957686429999999</v>
      </c>
      <c r="H27" s="16">
        <v>1.9412788400000001</v>
      </c>
      <c r="I27" s="14">
        <v>28.819997489999999</v>
      </c>
      <c r="J27" s="16">
        <v>2.2346112100000002</v>
      </c>
      <c r="K27" s="14">
        <v>39.140033940000002</v>
      </c>
      <c r="L27" s="16">
        <v>2.4959727799999998</v>
      </c>
      <c r="M27" s="14" t="s">
        <v>139</v>
      </c>
      <c r="N27" s="16" t="s">
        <v>139</v>
      </c>
      <c r="O27" s="14">
        <v>0</v>
      </c>
      <c r="P27" s="16">
        <v>0</v>
      </c>
      <c r="Q27" s="14">
        <v>0</v>
      </c>
      <c r="R27" s="16">
        <v>0</v>
      </c>
      <c r="S27" s="14">
        <v>0</v>
      </c>
      <c r="T27" s="16">
        <v>0</v>
      </c>
      <c r="U27" s="14">
        <v>0</v>
      </c>
      <c r="V27" s="16">
        <v>0</v>
      </c>
    </row>
    <row r="28" spans="1:22" x14ac:dyDescent="0.25">
      <c r="A28" s="11" t="s">
        <v>161</v>
      </c>
      <c r="B28" s="13">
        <v>3765</v>
      </c>
      <c r="C28" s="14">
        <f>(3140/B28*100)</f>
        <v>83.399734395750329</v>
      </c>
      <c r="D28" s="15">
        <v>625</v>
      </c>
      <c r="E28" s="14">
        <v>12.54243887</v>
      </c>
      <c r="F28" s="16">
        <v>1.62089079</v>
      </c>
      <c r="G28" s="14">
        <v>22.97338448</v>
      </c>
      <c r="H28" s="16">
        <v>1.69937268</v>
      </c>
      <c r="I28" s="14">
        <v>29.44823113</v>
      </c>
      <c r="J28" s="16">
        <v>1.91695905</v>
      </c>
      <c r="K28" s="14">
        <v>35.035945519999999</v>
      </c>
      <c r="L28" s="16">
        <v>2.1421834500000001</v>
      </c>
      <c r="M28" s="14" t="s">
        <v>139</v>
      </c>
      <c r="N28" s="16" t="s">
        <v>139</v>
      </c>
      <c r="O28" s="14">
        <v>0</v>
      </c>
      <c r="P28" s="16">
        <v>0</v>
      </c>
      <c r="Q28" s="14">
        <v>0</v>
      </c>
      <c r="R28" s="16">
        <v>0</v>
      </c>
      <c r="S28" s="14">
        <v>0</v>
      </c>
      <c r="T28" s="16">
        <v>0</v>
      </c>
      <c r="U28" s="14">
        <v>0</v>
      </c>
      <c r="V28" s="16">
        <v>0</v>
      </c>
    </row>
    <row r="29" spans="1:22" x14ac:dyDescent="0.25">
      <c r="A29" s="11" t="s">
        <v>162</v>
      </c>
      <c r="B29" s="13">
        <v>2685</v>
      </c>
      <c r="C29" s="14">
        <f>(2224/B29*100)</f>
        <v>82.830540037243949</v>
      </c>
      <c r="D29" s="15">
        <v>461</v>
      </c>
      <c r="E29" s="14">
        <v>4.3283629599999998</v>
      </c>
      <c r="F29" s="16">
        <v>1.13679828</v>
      </c>
      <c r="G29" s="14">
        <v>14.289569180000001</v>
      </c>
      <c r="H29" s="16">
        <v>1.7673014300000001</v>
      </c>
      <c r="I29" s="14">
        <v>30.602930000000001</v>
      </c>
      <c r="J29" s="16">
        <v>2.15404295</v>
      </c>
      <c r="K29" s="14">
        <v>50.779137859999999</v>
      </c>
      <c r="L29" s="16">
        <v>2.2230221000000001</v>
      </c>
      <c r="M29" s="14" t="s">
        <v>139</v>
      </c>
      <c r="N29" s="16" t="s">
        <v>139</v>
      </c>
      <c r="O29" s="14">
        <v>0</v>
      </c>
      <c r="P29" s="16">
        <v>0</v>
      </c>
      <c r="Q29" s="14">
        <v>0</v>
      </c>
      <c r="R29" s="16">
        <v>0</v>
      </c>
      <c r="S29" s="14">
        <v>0</v>
      </c>
      <c r="T29" s="16">
        <v>0</v>
      </c>
      <c r="U29" s="14">
        <v>0</v>
      </c>
      <c r="V29" s="16">
        <v>0</v>
      </c>
    </row>
    <row r="30" spans="1:22" x14ac:dyDescent="0.25">
      <c r="A30" s="11" t="s">
        <v>163</v>
      </c>
      <c r="B30" s="13">
        <v>2263</v>
      </c>
      <c r="C30" s="14">
        <f>(1869/B30*100)</f>
        <v>82.58948298718515</v>
      </c>
      <c r="D30" s="15">
        <v>394</v>
      </c>
      <c r="E30" s="14">
        <v>5.1104222500000001</v>
      </c>
      <c r="F30" s="16">
        <v>1.1224256800000001</v>
      </c>
      <c r="G30" s="14">
        <v>21.650967940000001</v>
      </c>
      <c r="H30" s="16">
        <v>2.1038757399999999</v>
      </c>
      <c r="I30" s="14">
        <v>25.671821250000001</v>
      </c>
      <c r="J30" s="16">
        <v>2.30666913</v>
      </c>
      <c r="K30" s="14">
        <v>47.566788559999999</v>
      </c>
      <c r="L30" s="16">
        <v>2.4667597899999998</v>
      </c>
      <c r="M30" s="14" t="s">
        <v>139</v>
      </c>
      <c r="N30" s="16" t="s">
        <v>139</v>
      </c>
      <c r="O30" s="14">
        <v>0</v>
      </c>
      <c r="P30" s="16">
        <v>0</v>
      </c>
      <c r="Q30" s="14">
        <v>0</v>
      </c>
      <c r="R30" s="16">
        <v>0</v>
      </c>
      <c r="S30" s="14">
        <v>0</v>
      </c>
      <c r="T30" s="16">
        <v>0</v>
      </c>
      <c r="U30" s="14">
        <v>0</v>
      </c>
      <c r="V30" s="16">
        <v>0</v>
      </c>
    </row>
    <row r="31" spans="1:22" x14ac:dyDescent="0.25">
      <c r="A31" s="11" t="s">
        <v>164</v>
      </c>
      <c r="B31" s="13">
        <v>2750</v>
      </c>
      <c r="C31" s="14">
        <f>(2291/B31*100)</f>
        <v>83.309090909090912</v>
      </c>
      <c r="D31" s="15">
        <v>459</v>
      </c>
      <c r="E31" s="14">
        <v>3.0253744999999999</v>
      </c>
      <c r="F31" s="16">
        <v>0.79550098999999996</v>
      </c>
      <c r="G31" s="14">
        <v>15.34365195</v>
      </c>
      <c r="H31" s="16">
        <v>1.5187515199999999</v>
      </c>
      <c r="I31" s="14">
        <v>25.757178400000001</v>
      </c>
      <c r="J31" s="16">
        <v>1.9738467399999999</v>
      </c>
      <c r="K31" s="14">
        <v>55.873795139999999</v>
      </c>
      <c r="L31" s="16">
        <v>2.2503127300000001</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(3070/B33*100)</f>
        <v>83.560152422427876</v>
      </c>
      <c r="D33" s="15">
        <v>604</v>
      </c>
      <c r="E33" s="14">
        <v>6.9370839499999999</v>
      </c>
      <c r="F33" s="16">
        <v>1.1114311100000001</v>
      </c>
      <c r="G33" s="14">
        <v>26.152285559999999</v>
      </c>
      <c r="H33" s="16">
        <v>2.0806751600000002</v>
      </c>
      <c r="I33" s="14">
        <v>28.074836090000002</v>
      </c>
      <c r="J33" s="16">
        <v>2.1087018999999998</v>
      </c>
      <c r="K33" s="14">
        <v>38.835794389999997</v>
      </c>
      <c r="L33" s="16">
        <v>2.24267576</v>
      </c>
      <c r="M33" s="14" t="s">
        <v>139</v>
      </c>
      <c r="N33" s="16" t="s">
        <v>139</v>
      </c>
      <c r="O33" s="14">
        <v>0</v>
      </c>
      <c r="P33" s="16">
        <v>0</v>
      </c>
      <c r="Q33" s="14">
        <v>0</v>
      </c>
      <c r="R33" s="16">
        <v>0</v>
      </c>
      <c r="S33" s="14">
        <v>0</v>
      </c>
      <c r="T33" s="16">
        <v>0</v>
      </c>
      <c r="U33" s="14">
        <v>0</v>
      </c>
      <c r="V33" s="16">
        <v>0</v>
      </c>
    </row>
    <row r="34" spans="1:22" x14ac:dyDescent="0.25">
      <c r="A34" s="11" t="s">
        <v>167</v>
      </c>
      <c r="B34" s="13">
        <v>3315</v>
      </c>
      <c r="C34" s="14">
        <f>(2751/B34*100)</f>
        <v>82.986425339366519</v>
      </c>
      <c r="D34" s="15">
        <v>564</v>
      </c>
      <c r="E34" s="14">
        <v>10.020741149999999</v>
      </c>
      <c r="F34" s="16">
        <v>1.37601061</v>
      </c>
      <c r="G34" s="14">
        <v>23.14514265</v>
      </c>
      <c r="H34" s="16">
        <v>1.9024992999999999</v>
      </c>
      <c r="I34" s="14">
        <v>26.317028090000001</v>
      </c>
      <c r="J34" s="16">
        <v>1.7912303599999999</v>
      </c>
      <c r="K34" s="14">
        <v>40.517088110000003</v>
      </c>
      <c r="L34" s="16">
        <v>2.4835232399999998</v>
      </c>
      <c r="M34" s="14" t="s">
        <v>139</v>
      </c>
      <c r="N34" s="16" t="s">
        <v>139</v>
      </c>
      <c r="O34" s="14">
        <v>0</v>
      </c>
      <c r="P34" s="16">
        <v>0</v>
      </c>
      <c r="Q34" s="14">
        <v>0</v>
      </c>
      <c r="R34" s="16">
        <v>0</v>
      </c>
      <c r="S34" s="14">
        <v>0</v>
      </c>
      <c r="T34" s="16">
        <v>0</v>
      </c>
      <c r="U34" s="14">
        <v>0</v>
      </c>
      <c r="V34" s="16">
        <v>0</v>
      </c>
    </row>
    <row r="35" spans="1:22" x14ac:dyDescent="0.25">
      <c r="A35" s="11" t="s">
        <v>168</v>
      </c>
      <c r="B35" s="13">
        <v>3505</v>
      </c>
      <c r="C35" s="14">
        <f>(2907/B35*100)</f>
        <v>82.938659058487872</v>
      </c>
      <c r="D35" s="15">
        <v>598</v>
      </c>
      <c r="E35" s="14">
        <v>4.0942487600000002</v>
      </c>
      <c r="F35" s="16">
        <v>0.94760104999999994</v>
      </c>
      <c r="G35" s="14">
        <v>19.498502519999999</v>
      </c>
      <c r="H35" s="16">
        <v>1.7703455299999999</v>
      </c>
      <c r="I35" s="14">
        <v>31.189531219999999</v>
      </c>
      <c r="J35" s="16">
        <v>2.0434216900000002</v>
      </c>
      <c r="K35" s="14">
        <v>45.21771751</v>
      </c>
      <c r="L35" s="16">
        <v>2.6661779299999999</v>
      </c>
      <c r="M35" s="14" t="s">
        <v>139</v>
      </c>
      <c r="N35" s="16" t="s">
        <v>139</v>
      </c>
      <c r="O35" s="14">
        <v>0</v>
      </c>
      <c r="P35" s="16">
        <v>0</v>
      </c>
      <c r="Q35" s="14">
        <v>0</v>
      </c>
      <c r="R35" s="16">
        <v>0</v>
      </c>
      <c r="S35" s="14">
        <v>0</v>
      </c>
      <c r="T35" s="16">
        <v>0</v>
      </c>
      <c r="U35" s="14">
        <v>0</v>
      </c>
      <c r="V35" s="16">
        <v>0</v>
      </c>
    </row>
    <row r="36" spans="1:22" x14ac:dyDescent="0.25">
      <c r="A36" s="11" t="s">
        <v>169</v>
      </c>
      <c r="B36" s="13">
        <v>3332</v>
      </c>
      <c r="C36" s="14">
        <f>(2762/B36*100)</f>
        <v>82.893157262905163</v>
      </c>
      <c r="D36" s="15">
        <v>570</v>
      </c>
      <c r="E36" s="14">
        <v>5.0608830600000001</v>
      </c>
      <c r="F36" s="16">
        <v>0.91635509000000004</v>
      </c>
      <c r="G36" s="14">
        <v>24.571434459999999</v>
      </c>
      <c r="H36" s="16">
        <v>2.0076217700000001</v>
      </c>
      <c r="I36" s="14">
        <v>31.915816320000001</v>
      </c>
      <c r="J36" s="16">
        <v>1.9949222900000001</v>
      </c>
      <c r="K36" s="14">
        <v>38.451866170000002</v>
      </c>
      <c r="L36" s="16">
        <v>2.0800155199999999</v>
      </c>
      <c r="M36" s="14" t="s">
        <v>139</v>
      </c>
      <c r="N36" s="16" t="s">
        <v>139</v>
      </c>
      <c r="O36" s="14">
        <v>0</v>
      </c>
      <c r="P36" s="16">
        <v>0</v>
      </c>
      <c r="Q36" s="14">
        <v>0</v>
      </c>
      <c r="R36" s="16">
        <v>0</v>
      </c>
      <c r="S36" s="14">
        <v>0</v>
      </c>
      <c r="T36" s="16">
        <v>0</v>
      </c>
      <c r="U36" s="14">
        <v>0</v>
      </c>
      <c r="V36" s="16">
        <v>0</v>
      </c>
    </row>
    <row r="37" spans="1:22" x14ac:dyDescent="0.25">
      <c r="A37" s="11" t="s">
        <v>170</v>
      </c>
      <c r="B37" s="13">
        <v>2727</v>
      </c>
      <c r="C37" s="14">
        <f>(2265/B37*100)</f>
        <v>83.058305830583052</v>
      </c>
      <c r="D37" s="15">
        <v>462</v>
      </c>
      <c r="E37" s="14">
        <v>5.0648367299999997</v>
      </c>
      <c r="F37" s="16">
        <v>1.02453251</v>
      </c>
      <c r="G37" s="14">
        <v>18.596324249999999</v>
      </c>
      <c r="H37" s="16">
        <v>1.8177316400000001</v>
      </c>
      <c r="I37" s="14">
        <v>28.636044680000001</v>
      </c>
      <c r="J37" s="16">
        <v>2.0944809900000001</v>
      </c>
      <c r="K37" s="14">
        <v>47.702794339999997</v>
      </c>
      <c r="L37" s="16">
        <v>2.8413710000000001</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(2459/B39*100)</f>
        <v>83.158606695975664</v>
      </c>
      <c r="D39" s="15">
        <v>498</v>
      </c>
      <c r="E39" s="14">
        <v>12.10128072</v>
      </c>
      <c r="F39" s="16">
        <v>1.5240442700000001</v>
      </c>
      <c r="G39" s="14">
        <v>33.570004789999999</v>
      </c>
      <c r="H39" s="16">
        <v>2.4563549999999998</v>
      </c>
      <c r="I39" s="14">
        <v>30.24570512</v>
      </c>
      <c r="J39" s="16">
        <v>2.4587232600000002</v>
      </c>
      <c r="K39" s="14">
        <v>24.083009359999998</v>
      </c>
      <c r="L39" s="16">
        <v>1.9286427900000001</v>
      </c>
      <c r="M39" s="14" t="s">
        <v>139</v>
      </c>
      <c r="N39" s="16" t="s">
        <v>139</v>
      </c>
      <c r="O39" s="14">
        <v>0</v>
      </c>
      <c r="P39" s="16">
        <v>0</v>
      </c>
      <c r="Q39" s="14">
        <v>0</v>
      </c>
      <c r="R39" s="16">
        <v>0</v>
      </c>
      <c r="S39" s="14">
        <v>0</v>
      </c>
      <c r="T39" s="16">
        <v>0</v>
      </c>
      <c r="U39" s="14">
        <v>0</v>
      </c>
      <c r="V39" s="16">
        <v>0</v>
      </c>
    </row>
    <row r="40" spans="1:22" x14ac:dyDescent="0.25">
      <c r="A40" s="11" t="s">
        <v>173</v>
      </c>
      <c r="B40" s="13">
        <v>7235</v>
      </c>
      <c r="C40" s="14">
        <f>(5964/B40*100)</f>
        <v>82.43261921216309</v>
      </c>
      <c r="D40" s="15">
        <v>1271</v>
      </c>
      <c r="E40" s="14">
        <v>6.01317974</v>
      </c>
      <c r="F40" s="16">
        <v>1.09525607</v>
      </c>
      <c r="G40" s="14">
        <v>21.133292879999999</v>
      </c>
      <c r="H40" s="16">
        <v>2.3459552399999999</v>
      </c>
      <c r="I40" s="14">
        <v>28.302367100000001</v>
      </c>
      <c r="J40" s="16">
        <v>1.7732344499999999</v>
      </c>
      <c r="K40" s="14">
        <v>44.551160279999998</v>
      </c>
      <c r="L40" s="16">
        <v>2.4361366900000001</v>
      </c>
      <c r="M40" s="14" t="s">
        <v>139</v>
      </c>
      <c r="N40" s="16" t="s">
        <v>139</v>
      </c>
      <c r="O40" s="14">
        <v>0</v>
      </c>
      <c r="P40" s="16">
        <v>0</v>
      </c>
      <c r="Q40" s="14">
        <v>0</v>
      </c>
      <c r="R40" s="16">
        <v>0</v>
      </c>
      <c r="S40" s="14">
        <v>0</v>
      </c>
      <c r="T40" s="16">
        <v>0</v>
      </c>
      <c r="U40" s="14">
        <v>0</v>
      </c>
      <c r="V40" s="16">
        <v>0</v>
      </c>
    </row>
    <row r="41" spans="1:22" x14ac:dyDescent="0.25">
      <c r="A41" s="11" t="s">
        <v>174</v>
      </c>
      <c r="B41" s="13">
        <v>2858</v>
      </c>
      <c r="C41" s="14">
        <f>(2393/B41*100)</f>
        <v>83.729881035689289</v>
      </c>
      <c r="D41" s="15">
        <v>465</v>
      </c>
      <c r="E41" s="14">
        <v>4.7739768700000003</v>
      </c>
      <c r="F41" s="16">
        <v>0.99546871999999997</v>
      </c>
      <c r="G41" s="14">
        <v>21.009141110000002</v>
      </c>
      <c r="H41" s="16">
        <v>2.13078104</v>
      </c>
      <c r="I41" s="14">
        <v>25.034424770000001</v>
      </c>
      <c r="J41" s="16">
        <v>1.99069947</v>
      </c>
      <c r="K41" s="14">
        <v>49.182457249999999</v>
      </c>
      <c r="L41" s="16">
        <v>2.5180464200000001</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83.033977611446062</v>
      </c>
      <c r="D42" s="15">
        <f>IF(COUNT(D7:D41) &gt; 0, AVERAGE(D7:D41), "—")</f>
        <v>619.46875</v>
      </c>
      <c r="E42" s="14">
        <f>IF(COUNT(E7:E41) &gt; 0, AVERAGE(E7:E41), "—")</f>
        <v>6.5130411765625</v>
      </c>
      <c r="F42" s="16">
        <f>IF(COUNT(F7:F41) &gt; 0, SQRT(SUMSQ(F7:F41)/(COUNT(F7:F41)*COUNT(F7:F41)) ), "—")</f>
        <v>0.20906532623414006</v>
      </c>
      <c r="G42" s="14">
        <f>IF(COUNT(G7:G41) &gt; 0, AVERAGE(G7:G41), "—")</f>
        <v>20.540819158124997</v>
      </c>
      <c r="H42" s="16">
        <f>IF(COUNT(H7:H41) &gt; 0, SQRT(SUMSQ(H7:H41)/(COUNT(H7:H41)*COUNT(H7:H41)) ), "—")</f>
        <v>0.33727431958580562</v>
      </c>
      <c r="I42" s="14">
        <f>IF(COUNT(I7:I41) &gt; 0, AVERAGE(I7:I41), "—")</f>
        <v>28.777758195312497</v>
      </c>
      <c r="J42" s="16">
        <f>IF(COUNT(J7:J41) &gt; 0, SQRT(SUMSQ(J7:J41)/(COUNT(J7:J41)*COUNT(J7:J41)) ), "—")</f>
        <v>0.3681195013441943</v>
      </c>
      <c r="K42" s="14">
        <f>IF(COUNT(K7:K41) &gt; 0, AVERAGE(K7:K41), "—")</f>
        <v>44.168381469375007</v>
      </c>
      <c r="L42" s="16">
        <f>IF(COUNT(L7:L41) &gt; 0, SQRT(SUMSQ(L7:L41)/(COUNT(L7:L41)*COUNT(L7:L41)) ), "—")</f>
        <v>0.40763799277590085</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(9537/B46*100)</f>
        <v>86.167329237441265</v>
      </c>
      <c r="D46" s="15">
        <v>1531</v>
      </c>
      <c r="E46" s="14">
        <v>14.530976190000001</v>
      </c>
      <c r="F46" s="16">
        <v>1.08363257</v>
      </c>
      <c r="G46" s="14">
        <v>34.915418299999999</v>
      </c>
      <c r="H46" s="16">
        <v>1.6625755200000001</v>
      </c>
      <c r="I46" s="14">
        <v>26.087438729999999</v>
      </c>
      <c r="J46" s="16">
        <v>1.35598033</v>
      </c>
      <c r="K46" s="14">
        <v>24.466166770000001</v>
      </c>
      <c r="L46" s="16">
        <v>1.42012253</v>
      </c>
      <c r="M46" s="14" t="s">
        <v>139</v>
      </c>
      <c r="N46" s="16" t="s">
        <v>139</v>
      </c>
      <c r="O46" s="14">
        <v>0</v>
      </c>
      <c r="P46" s="16">
        <v>0</v>
      </c>
      <c r="Q46" s="14">
        <v>0</v>
      </c>
      <c r="R46" s="16">
        <v>0</v>
      </c>
      <c r="S46" s="14">
        <v>0</v>
      </c>
      <c r="T46" s="16">
        <v>0</v>
      </c>
      <c r="U46" s="14">
        <v>0</v>
      </c>
      <c r="V46" s="16">
        <v>0</v>
      </c>
    </row>
    <row r="47" spans="1:22" x14ac:dyDescent="0.25">
      <c r="A47" s="11" t="s">
        <v>180</v>
      </c>
      <c r="B47" s="13">
        <v>3105</v>
      </c>
      <c r="C47" s="14">
        <f>(2574/B47*100)</f>
        <v>82.898550724637673</v>
      </c>
      <c r="D47" s="15">
        <v>531</v>
      </c>
      <c r="E47" s="14">
        <v>12.155645399999999</v>
      </c>
      <c r="F47" s="16">
        <v>1.45952594</v>
      </c>
      <c r="G47" s="14">
        <v>30.448519990000001</v>
      </c>
      <c r="H47" s="16">
        <v>2.4702674099999999</v>
      </c>
      <c r="I47" s="14">
        <v>29.463407969999999</v>
      </c>
      <c r="J47" s="16">
        <v>2.0041168499999999</v>
      </c>
      <c r="K47" s="14">
        <v>27.932426629999998</v>
      </c>
      <c r="L47" s="16">
        <v>2.3169028100000002</v>
      </c>
      <c r="M47" s="14" t="s">
        <v>139</v>
      </c>
      <c r="N47" s="16" t="s">
        <v>139</v>
      </c>
      <c r="O47" s="14">
        <v>0</v>
      </c>
      <c r="P47" s="16">
        <v>0</v>
      </c>
      <c r="Q47" s="14">
        <v>0</v>
      </c>
      <c r="R47" s="16">
        <v>0</v>
      </c>
      <c r="S47" s="14">
        <v>0</v>
      </c>
      <c r="T47" s="16">
        <v>0</v>
      </c>
      <c r="U47" s="14">
        <v>0</v>
      </c>
      <c r="V47" s="16">
        <v>0</v>
      </c>
    </row>
    <row r="48" spans="1:22" x14ac:dyDescent="0.25">
      <c r="A48" s="11" t="s">
        <v>181</v>
      </c>
      <c r="B48" s="13">
        <v>5159</v>
      </c>
      <c r="C48" s="14">
        <f>(4289/B48*100)</f>
        <v>83.136266718356268</v>
      </c>
      <c r="D48" s="15">
        <v>870</v>
      </c>
      <c r="E48" s="14">
        <v>5.8416618500000004</v>
      </c>
      <c r="F48" s="16">
        <v>1.1718167900000001</v>
      </c>
      <c r="G48" s="14">
        <v>18.760011590000001</v>
      </c>
      <c r="H48" s="16">
        <v>1.5458085800000001</v>
      </c>
      <c r="I48" s="14">
        <v>26.972340899999999</v>
      </c>
      <c r="J48" s="16">
        <v>1.8810772</v>
      </c>
      <c r="K48" s="14">
        <v>48.425985670000003</v>
      </c>
      <c r="L48" s="16">
        <v>1.9023874000000001</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(4686/B50*100)</f>
        <v>83.129324108568397</v>
      </c>
      <c r="D50" s="15">
        <v>951</v>
      </c>
      <c r="E50" s="14">
        <v>12.15926771</v>
      </c>
      <c r="F50" s="16">
        <v>1.20393167</v>
      </c>
      <c r="G50" s="14">
        <v>30.560513409999999</v>
      </c>
      <c r="H50" s="16">
        <v>1.8350907000000001</v>
      </c>
      <c r="I50" s="14">
        <v>28.80297594</v>
      </c>
      <c r="J50" s="16">
        <v>1.9352372</v>
      </c>
      <c r="K50" s="14">
        <v>28.477242929999999</v>
      </c>
      <c r="L50" s="16">
        <v>1.8857630999999999</v>
      </c>
      <c r="M50" s="14" t="s">
        <v>139</v>
      </c>
      <c r="N50" s="16" t="s">
        <v>139</v>
      </c>
      <c r="O50" s="14">
        <v>0</v>
      </c>
      <c r="P50" s="16">
        <v>0</v>
      </c>
      <c r="Q50" s="14">
        <v>0</v>
      </c>
      <c r="R50" s="16">
        <v>0</v>
      </c>
      <c r="S50" s="14">
        <v>0</v>
      </c>
      <c r="T50" s="16">
        <v>0</v>
      </c>
      <c r="U50" s="14">
        <v>0</v>
      </c>
      <c r="V50" s="16">
        <v>0</v>
      </c>
    </row>
    <row r="51" spans="1:22" x14ac:dyDescent="0.25">
      <c r="A51" s="11" t="s">
        <v>184</v>
      </c>
      <c r="B51" s="13">
        <v>3372</v>
      </c>
      <c r="C51" s="14">
        <f>(2877/B51*100)</f>
        <v>85.320284697508896</v>
      </c>
      <c r="D51" s="15">
        <v>495</v>
      </c>
      <c r="E51" s="14">
        <v>8.5421981700000007</v>
      </c>
      <c r="F51" s="16">
        <v>1.3555402400000001</v>
      </c>
      <c r="G51" s="14">
        <v>29.694000559999999</v>
      </c>
      <c r="H51" s="16">
        <v>2.2523517499999999</v>
      </c>
      <c r="I51" s="14">
        <v>37.2356421</v>
      </c>
      <c r="J51" s="16">
        <v>2.3191359999999999</v>
      </c>
      <c r="K51" s="14">
        <v>24.528159169999999</v>
      </c>
      <c r="L51" s="16">
        <v>1.9987871800000001</v>
      </c>
      <c r="M51" s="14" t="s">
        <v>139</v>
      </c>
      <c r="N51" s="16" t="s">
        <v>139</v>
      </c>
      <c r="O51" s="14">
        <v>0</v>
      </c>
      <c r="P51" s="16">
        <v>0</v>
      </c>
      <c r="Q51" s="14">
        <v>0</v>
      </c>
      <c r="R51" s="16">
        <v>0</v>
      </c>
      <c r="S51" s="14">
        <v>0</v>
      </c>
      <c r="T51" s="16">
        <v>0</v>
      </c>
      <c r="U51" s="14">
        <v>0</v>
      </c>
      <c r="V51" s="16">
        <v>0</v>
      </c>
    </row>
    <row r="52" spans="1:22" x14ac:dyDescent="0.25">
      <c r="A52" s="11" t="s">
        <v>185</v>
      </c>
      <c r="B52" s="13">
        <v>2796</v>
      </c>
      <c r="C52" s="14">
        <f>(2307/B52*100)</f>
        <v>82.510729613733901</v>
      </c>
      <c r="D52" s="15">
        <v>489</v>
      </c>
      <c r="E52" s="14">
        <v>6.16130172</v>
      </c>
      <c r="F52" s="16">
        <v>1.29222342</v>
      </c>
      <c r="G52" s="14">
        <v>25.731542510000001</v>
      </c>
      <c r="H52" s="16">
        <v>1.8804043500000001</v>
      </c>
      <c r="I52" s="14">
        <v>31.497527999999999</v>
      </c>
      <c r="J52" s="16">
        <v>1.72876557</v>
      </c>
      <c r="K52" s="14">
        <v>36.609627770000003</v>
      </c>
      <c r="L52" s="16">
        <v>1.9642387100000001</v>
      </c>
      <c r="M52" s="14" t="s">
        <v>139</v>
      </c>
      <c r="N52" s="16" t="s">
        <v>139</v>
      </c>
      <c r="O52" s="14">
        <v>0</v>
      </c>
      <c r="P52" s="16">
        <v>0</v>
      </c>
      <c r="Q52" s="14">
        <v>0</v>
      </c>
      <c r="R52" s="16">
        <v>0</v>
      </c>
      <c r="S52" s="14">
        <v>0</v>
      </c>
      <c r="T52" s="16">
        <v>0</v>
      </c>
      <c r="U52" s="14">
        <v>0</v>
      </c>
      <c r="V52" s="16">
        <v>0</v>
      </c>
    </row>
    <row r="53" spans="1:22" x14ac:dyDescent="0.25">
      <c r="A53" s="11" t="s">
        <v>186</v>
      </c>
      <c r="B53" s="13">
        <v>2811</v>
      </c>
      <c r="C53" s="14">
        <f>(2335/B53*100)</f>
        <v>83.066524368552123</v>
      </c>
      <c r="D53" s="15">
        <v>476</v>
      </c>
      <c r="E53" s="14">
        <v>10.716559220000001</v>
      </c>
      <c r="F53" s="16">
        <v>1.37273731</v>
      </c>
      <c r="G53" s="14">
        <v>31.516395960000001</v>
      </c>
      <c r="H53" s="16">
        <v>1.9719280699999999</v>
      </c>
      <c r="I53" s="14">
        <v>26.1521513</v>
      </c>
      <c r="J53" s="16">
        <v>2.2374020099999998</v>
      </c>
      <c r="K53" s="14">
        <v>31.614893519999999</v>
      </c>
      <c r="L53" s="16">
        <v>2.3862948099999999</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(2241/B56*100)</f>
        <v>83.494783904619979</v>
      </c>
      <c r="D56" s="15">
        <v>443</v>
      </c>
      <c r="E56" s="14">
        <v>3.5290469799999999</v>
      </c>
      <c r="F56" s="16">
        <v>0.93921467999999997</v>
      </c>
      <c r="G56" s="14">
        <v>12.241102079999999</v>
      </c>
      <c r="H56" s="16">
        <v>2.0018606499999998</v>
      </c>
      <c r="I56" s="14">
        <v>32.35214105</v>
      </c>
      <c r="J56" s="16">
        <v>2.2008786100000002</v>
      </c>
      <c r="K56" s="14">
        <v>51.877709889999998</v>
      </c>
      <c r="L56" s="16">
        <v>2.8179963200000002</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(2746/B61*100)</f>
        <v>82.611311672683513</v>
      </c>
      <c r="D61" s="15">
        <v>578</v>
      </c>
      <c r="E61" s="14">
        <v>7.2890017699999996</v>
      </c>
      <c r="F61" s="16">
        <v>1.15219962</v>
      </c>
      <c r="G61" s="14">
        <v>21.444523759999999</v>
      </c>
      <c r="H61" s="16">
        <v>1.8008489599999999</v>
      </c>
      <c r="I61" s="14">
        <v>34.055961009999997</v>
      </c>
      <c r="J61" s="16">
        <v>2.0301230000000001</v>
      </c>
      <c r="K61" s="14">
        <v>37.210513470000002</v>
      </c>
      <c r="L61" s="16">
        <v>2.2822094000000002</v>
      </c>
      <c r="M61" s="14" t="s">
        <v>139</v>
      </c>
      <c r="N61" s="16" t="s">
        <v>139</v>
      </c>
      <c r="O61" s="14">
        <v>0</v>
      </c>
      <c r="P61" s="16">
        <v>0</v>
      </c>
      <c r="Q61" s="14">
        <v>0</v>
      </c>
      <c r="R61" s="16">
        <v>0</v>
      </c>
      <c r="S61" s="14">
        <v>0</v>
      </c>
      <c r="T61" s="16">
        <v>0</v>
      </c>
      <c r="U61" s="14">
        <v>0</v>
      </c>
      <c r="V61" s="16">
        <v>0</v>
      </c>
    </row>
    <row r="62" spans="1:22" x14ac:dyDescent="0.25">
      <c r="A62" s="11" t="s">
        <v>195</v>
      </c>
      <c r="B62" s="13">
        <v>2246</v>
      </c>
      <c r="C62" s="14">
        <f>(1856/B62*100)</f>
        <v>82.635796972395369</v>
      </c>
      <c r="D62" s="15">
        <v>390</v>
      </c>
      <c r="E62" s="14">
        <v>5.11183107</v>
      </c>
      <c r="F62" s="16">
        <v>1.2127276300000001</v>
      </c>
      <c r="G62" s="14">
        <v>12.862839620000001</v>
      </c>
      <c r="H62" s="16">
        <v>1.54267233</v>
      </c>
      <c r="I62" s="14">
        <v>27.46358489</v>
      </c>
      <c r="J62" s="16">
        <v>2.1201820699999998</v>
      </c>
      <c r="K62" s="14">
        <v>54.561744419999997</v>
      </c>
      <c r="L62" s="16">
        <v>2.2200795699999998</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(2401/B66*100)</f>
        <v>82.964754664823772</v>
      </c>
      <c r="D66" s="15">
        <v>493</v>
      </c>
      <c r="E66" s="14">
        <v>10.24332083</v>
      </c>
      <c r="F66" s="16">
        <v>1.44254477</v>
      </c>
      <c r="G66" s="14">
        <v>34.978147569999997</v>
      </c>
      <c r="H66" s="16">
        <v>2.2277292000000002</v>
      </c>
      <c r="I66" s="14">
        <v>29.794434760000001</v>
      </c>
      <c r="J66" s="16">
        <v>2.0681062899999998</v>
      </c>
      <c r="K66" s="14">
        <v>24.984096839999999</v>
      </c>
      <c r="L66" s="16">
        <v>1.9694047699999999</v>
      </c>
      <c r="M66" s="14" t="s">
        <v>139</v>
      </c>
      <c r="N66" s="16" t="s">
        <v>139</v>
      </c>
      <c r="O66" s="14">
        <v>0</v>
      </c>
      <c r="P66" s="16">
        <v>0</v>
      </c>
      <c r="Q66" s="14">
        <v>0</v>
      </c>
      <c r="R66" s="16">
        <v>0</v>
      </c>
      <c r="S66" s="14">
        <v>0</v>
      </c>
      <c r="T66" s="16">
        <v>0</v>
      </c>
      <c r="U66" s="14">
        <v>0</v>
      </c>
      <c r="V66" s="16">
        <v>0</v>
      </c>
    </row>
    <row r="67" spans="1:22" x14ac:dyDescent="0.25">
      <c r="A67" s="11" t="s">
        <v>200</v>
      </c>
      <c r="B67" s="13">
        <v>3511</v>
      </c>
      <c r="C67" s="14">
        <f>(2968/B67*100)</f>
        <v>84.534320706351465</v>
      </c>
      <c r="D67" s="15">
        <v>543</v>
      </c>
      <c r="E67" s="14">
        <v>10.250086080000001</v>
      </c>
      <c r="F67" s="16">
        <v>1.20021913</v>
      </c>
      <c r="G67" s="14">
        <v>27.795274429999999</v>
      </c>
      <c r="H67" s="16">
        <v>1.9904269299999999</v>
      </c>
      <c r="I67" s="14">
        <v>28.393348670000002</v>
      </c>
      <c r="J67" s="16">
        <v>1.9377875499999999</v>
      </c>
      <c r="K67" s="14">
        <v>33.561290820000004</v>
      </c>
      <c r="L67" s="16">
        <v>2.4256601099999999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(2432/B70*100)</f>
        <v>83.031751451007167</v>
      </c>
      <c r="D70" s="15">
        <v>497</v>
      </c>
      <c r="E70" s="14">
        <v>5.9718707499999999</v>
      </c>
      <c r="F70" s="16">
        <v>1.0678059799999999</v>
      </c>
      <c r="G70" s="14">
        <v>24.831625880000001</v>
      </c>
      <c r="H70" s="16">
        <v>2.0573393699999998</v>
      </c>
      <c r="I70" s="14">
        <v>33.338891259999997</v>
      </c>
      <c r="J70" s="16">
        <v>2.94959573</v>
      </c>
      <c r="K70" s="14">
        <v>35.857612099999997</v>
      </c>
      <c r="L70" s="16">
        <v>2.1885624300000002</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(3226/B72*100)</f>
        <v>82.951915659552583</v>
      </c>
      <c r="D72" s="15">
        <v>663</v>
      </c>
      <c r="E72" s="14">
        <v>3.6812001599999999</v>
      </c>
      <c r="F72" s="16">
        <v>0.65016863000000003</v>
      </c>
      <c r="G72" s="14">
        <v>15.506129700000001</v>
      </c>
      <c r="H72" s="16">
        <v>1.3125150000000001</v>
      </c>
      <c r="I72" s="14">
        <v>26.781980740000002</v>
      </c>
      <c r="J72" s="16">
        <v>2.1899911300000001</v>
      </c>
      <c r="K72" s="14">
        <v>54.0306894</v>
      </c>
      <c r="L72" s="16">
        <v>2.1194166499999998</v>
      </c>
      <c r="M72" s="14" t="s">
        <v>139</v>
      </c>
      <c r="N72" s="16" t="s">
        <v>139</v>
      </c>
      <c r="O72" s="14">
        <v>0</v>
      </c>
      <c r="P72" s="16">
        <v>0</v>
      </c>
      <c r="Q72" s="14">
        <v>0</v>
      </c>
      <c r="R72" s="16">
        <v>0</v>
      </c>
      <c r="S72" s="14">
        <v>0</v>
      </c>
      <c r="T72" s="16">
        <v>0</v>
      </c>
      <c r="U72" s="14">
        <v>0</v>
      </c>
      <c r="V72" s="16">
        <v>0</v>
      </c>
    </row>
    <row r="73" spans="1:22" x14ac:dyDescent="0.25">
      <c r="A73" s="11" t="s">
        <v>206</v>
      </c>
      <c r="B73" s="13">
        <v>3597</v>
      </c>
      <c r="C73" s="14">
        <f>(2993/B73*100)</f>
        <v>83.208229079788708</v>
      </c>
      <c r="D73" s="15">
        <v>604</v>
      </c>
      <c r="E73" s="14">
        <v>12.08019447</v>
      </c>
      <c r="F73" s="16">
        <v>1.8455951799999999</v>
      </c>
      <c r="G73" s="14">
        <v>28.164884310000001</v>
      </c>
      <c r="H73" s="16">
        <v>2.19630532</v>
      </c>
      <c r="I73" s="14">
        <v>27.092187760000002</v>
      </c>
      <c r="J73" s="16">
        <v>2.1426118000000001</v>
      </c>
      <c r="K73" s="14">
        <v>32.662733449999998</v>
      </c>
      <c r="L73" s="16">
        <v>2.6992648199999998</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(2020/B75*100)</f>
        <v>83.956774729842067</v>
      </c>
      <c r="D75" s="15">
        <v>386</v>
      </c>
      <c r="E75" s="14">
        <v>17.671659940000001</v>
      </c>
      <c r="F75" s="16">
        <v>1.90478959</v>
      </c>
      <c r="G75" s="14">
        <v>35.826334680000002</v>
      </c>
      <c r="H75" s="16">
        <v>2.76001115</v>
      </c>
      <c r="I75" s="14">
        <v>26.213793519999999</v>
      </c>
      <c r="J75" s="16">
        <v>2.24274701</v>
      </c>
      <c r="K75" s="14">
        <v>20.288211860000001</v>
      </c>
      <c r="L75" s="16">
        <v>2.2568928800000001</v>
      </c>
      <c r="M75" s="14" t="s">
        <v>139</v>
      </c>
      <c r="N75" s="16" t="s">
        <v>139</v>
      </c>
      <c r="O75" s="14">
        <v>0</v>
      </c>
      <c r="P75" s="16">
        <v>0</v>
      </c>
      <c r="Q75" s="14">
        <v>0</v>
      </c>
      <c r="R75" s="16">
        <v>0</v>
      </c>
      <c r="S75" s="14">
        <v>0</v>
      </c>
      <c r="T75" s="16">
        <v>0</v>
      </c>
      <c r="U75" s="14">
        <v>0</v>
      </c>
      <c r="V75" s="16">
        <v>0</v>
      </c>
    </row>
    <row r="76" spans="1:22" x14ac:dyDescent="0.25">
      <c r="A76" s="11" t="s">
        <v>209</v>
      </c>
      <c r="B76" s="13">
        <v>7052</v>
      </c>
      <c r="C76" s="14">
        <f>(5873/B76*100)</f>
        <v>83.281338627339764</v>
      </c>
      <c r="D76" s="15">
        <v>1179</v>
      </c>
      <c r="E76" s="14">
        <v>16.356734769999999</v>
      </c>
      <c r="F76" s="16">
        <v>1.31686404</v>
      </c>
      <c r="G76" s="14">
        <v>32.369101010000001</v>
      </c>
      <c r="H76" s="16">
        <v>1.72348199</v>
      </c>
      <c r="I76" s="14">
        <v>25.64329309</v>
      </c>
      <c r="J76" s="16">
        <v>1.56082454</v>
      </c>
      <c r="K76" s="14">
        <v>25.630871129999999</v>
      </c>
      <c r="L76" s="16">
        <v>1.4028147900000001</v>
      </c>
      <c r="M76" s="14" t="s">
        <v>139</v>
      </c>
      <c r="N76" s="16" t="s">
        <v>139</v>
      </c>
      <c r="O76" s="14">
        <v>0</v>
      </c>
      <c r="P76" s="16">
        <v>0</v>
      </c>
      <c r="Q76" s="14">
        <v>0</v>
      </c>
      <c r="R76" s="16">
        <v>0</v>
      </c>
      <c r="S76" s="14">
        <v>0</v>
      </c>
      <c r="T76" s="16">
        <v>0</v>
      </c>
      <c r="U76" s="14">
        <v>0</v>
      </c>
      <c r="V76" s="16">
        <v>0</v>
      </c>
    </row>
    <row r="77" spans="1:22" x14ac:dyDescent="0.25">
      <c r="A77" s="11" t="s">
        <v>210</v>
      </c>
      <c r="B77" s="13">
        <v>2908</v>
      </c>
      <c r="C77" s="14">
        <f>(2401/B77*100)</f>
        <v>82.565337001375511</v>
      </c>
      <c r="D77" s="15">
        <v>507</v>
      </c>
      <c r="E77" s="14">
        <v>9.0619932999999993</v>
      </c>
      <c r="F77" s="16">
        <v>1.1841119600000001</v>
      </c>
      <c r="G77" s="14">
        <v>29.839755050000001</v>
      </c>
      <c r="H77" s="16">
        <v>2.12676737</v>
      </c>
      <c r="I77" s="14">
        <v>24.049653679999999</v>
      </c>
      <c r="J77" s="16">
        <v>1.7861212</v>
      </c>
      <c r="K77" s="14">
        <v>37.048597970000003</v>
      </c>
      <c r="L77" s="16">
        <v>2.6253554299999999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(3438/B81*100)</f>
        <v>82.58467451357194</v>
      </c>
      <c r="D81" s="15">
        <v>725</v>
      </c>
      <c r="E81" s="14">
        <v>12.04474091</v>
      </c>
      <c r="F81" s="16">
        <v>1.3773332300000001</v>
      </c>
      <c r="G81" s="14">
        <v>24.376606559999999</v>
      </c>
      <c r="H81" s="16">
        <v>1.8954196800000001</v>
      </c>
      <c r="I81" s="14">
        <v>29.91036531</v>
      </c>
      <c r="J81" s="16">
        <v>2.2512872900000001</v>
      </c>
      <c r="K81" s="14">
        <v>33.668287220000003</v>
      </c>
      <c r="L81" s="16">
        <v>2.2292437899999999</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R96"/>
  <sheetViews>
    <sheetView zoomScale="80" workbookViewId="0">
      <pane xSplit="4" topLeftCell="E1" activePane="topRight" state="frozen"/>
      <selection pane="topRight" activeCell="A6" sqref="A6"/>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(6126/B7*100)</f>
        <v>83.154608388760693</v>
      </c>
      <c r="D7" s="15">
        <v>1241</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3564</v>
      </c>
      <c r="C8" s="14">
        <f>(2934/B8*100)</f>
        <v>82.323232323232318</v>
      </c>
      <c r="D8" s="15">
        <v>630</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4899</v>
      </c>
      <c r="C9" s="14">
        <f>(4123/B9*100)</f>
        <v>84.160032659726483</v>
      </c>
      <c r="D9" s="15">
        <v>776</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10036</v>
      </c>
      <c r="C10" s="14">
        <f>(8327/B10*100)</f>
        <v>82.971303308090867</v>
      </c>
      <c r="D10" s="15">
        <v>1709</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3553</v>
      </c>
      <c r="C11" s="14">
        <f>(2953/B11*100)</f>
        <v>83.112862369828306</v>
      </c>
      <c r="D11" s="15">
        <v>600</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3472</v>
      </c>
      <c r="C12" s="14">
        <f>(2872/B12*100)</f>
        <v>82.718894009216598</v>
      </c>
      <c r="D12" s="15">
        <v>600</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(2986/B13*100)</f>
        <v>83.899971902219733</v>
      </c>
      <c r="D13" s="15">
        <v>573</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2799</v>
      </c>
      <c r="C14" s="14">
        <f>(2317/B14*100)</f>
        <v>82.779564130046452</v>
      </c>
      <c r="D14" s="15">
        <v>482</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3019</v>
      </c>
      <c r="C15" s="14">
        <f>(2521/B15*100)</f>
        <v>83.504471679364016</v>
      </c>
      <c r="D15" s="15">
        <v>498</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2997</v>
      </c>
      <c r="C16" s="14">
        <f>(2491/B16*100)</f>
        <v>83.116449783116451</v>
      </c>
      <c r="D16" s="15">
        <v>506</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3307</v>
      </c>
      <c r="C17" s="14">
        <f>(2768/B17*100)</f>
        <v>83.701239794375567</v>
      </c>
      <c r="D17" s="15">
        <v>539</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2826</v>
      </c>
      <c r="C18" s="14">
        <f>(2334/B18*100)</f>
        <v>82.590233545647564</v>
      </c>
      <c r="D18" s="15">
        <v>492</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2808</v>
      </c>
      <c r="C19" s="14">
        <f>(2333/B19*100)</f>
        <v>83.084045584045583</v>
      </c>
      <c r="D19" s="15">
        <v>475</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1630</v>
      </c>
      <c r="C20" s="14">
        <f>(1348/B20*100)</f>
        <v>82.699386503067487</v>
      </c>
      <c r="D20" s="15">
        <v>282</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5791</v>
      </c>
      <c r="C23" s="14">
        <f>(4811/B23*100)</f>
        <v>83.077188741150067</v>
      </c>
      <c r="D23" s="15">
        <v>980</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3338</v>
      </c>
      <c r="C24" s="14">
        <f>(2746/B24*100)</f>
        <v>82.264829239065307</v>
      </c>
      <c r="D24" s="15">
        <v>592</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2912</v>
      </c>
      <c r="C25" s="14">
        <f>(2407/B25*100)</f>
        <v>82.657967032967022</v>
      </c>
      <c r="D25" s="15">
        <v>505</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2450</v>
      </c>
      <c r="C26" s="14">
        <f>(2011/B26*100)</f>
        <v>82.08163265306122</v>
      </c>
      <c r="D26" s="15">
        <v>439</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2616</v>
      </c>
      <c r="C27" s="14">
        <f>(2162/B27*100)</f>
        <v>82.645259938837924</v>
      </c>
      <c r="D27" s="15">
        <v>454</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3765</v>
      </c>
      <c r="C28" s="14">
        <f>(3140/B28*100)</f>
        <v>83.399734395750329</v>
      </c>
      <c r="D28" s="15">
        <v>625</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2685</v>
      </c>
      <c r="C29" s="14">
        <f>(2224/B29*100)</f>
        <v>82.830540037243949</v>
      </c>
      <c r="D29" s="15">
        <v>461</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2263</v>
      </c>
      <c r="C30" s="14">
        <f>(1869/B30*100)</f>
        <v>82.58948298718515</v>
      </c>
      <c r="D30" s="15">
        <v>394</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2750</v>
      </c>
      <c r="C31" s="14">
        <f>(2291/B31*100)</f>
        <v>83.309090909090912</v>
      </c>
      <c r="D31" s="15">
        <v>459</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(3070/B33*100)</f>
        <v>83.560152422427876</v>
      </c>
      <c r="D33" s="15">
        <v>604</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3315</v>
      </c>
      <c r="C34" s="14">
        <f>(2751/B34*100)</f>
        <v>82.986425339366519</v>
      </c>
      <c r="D34" s="15">
        <v>564</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3505</v>
      </c>
      <c r="C35" s="14">
        <f>(2907/B35*100)</f>
        <v>82.938659058487872</v>
      </c>
      <c r="D35" s="15">
        <v>598</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3332</v>
      </c>
      <c r="C36" s="14">
        <f>(2762/B36*100)</f>
        <v>82.893157262905163</v>
      </c>
      <c r="D36" s="15">
        <v>570</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2727</v>
      </c>
      <c r="C37" s="14">
        <f>(2265/B37*100)</f>
        <v>83.058305830583052</v>
      </c>
      <c r="D37" s="15">
        <v>462</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(5964/B40*100)</f>
        <v>82.43261921216309</v>
      </c>
      <c r="D40" s="15">
        <v>1271</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2858</v>
      </c>
      <c r="C41" s="14">
        <f>(2393/B41*100)</f>
        <v>83.729881035689289</v>
      </c>
      <c r="D41" s="15">
        <v>465</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3654.375</v>
      </c>
      <c r="C42" s="14">
        <f>IF(COUNT(C7:C41) &gt; 0, AVERAGE(C7:C41), "—")</f>
        <v>83.033977611446062</v>
      </c>
      <c r="D42" s="15">
        <f>IF(COUNT(D7:D41) &gt; 0, AVERAGE(D7:D41), "—")</f>
        <v>619.46875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(9537/B46*100)</f>
        <v>86.167329237441265</v>
      </c>
      <c r="D46" s="15">
        <v>1531</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3105</v>
      </c>
      <c r="C47" s="14">
        <f>(2574/B47*100)</f>
        <v>82.898550724637673</v>
      </c>
      <c r="D47" s="15">
        <v>531</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5159</v>
      </c>
      <c r="C48" s="14">
        <f>(4289/B48*100)</f>
        <v>83.136266718356268</v>
      </c>
      <c r="D48" s="15">
        <v>870</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(4686/B50*100)</f>
        <v>83.129324108568397</v>
      </c>
      <c r="D50" s="15">
        <v>951</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3372</v>
      </c>
      <c r="C51" s="14">
        <f>(2877/B51*100)</f>
        <v>85.320284697508896</v>
      </c>
      <c r="D51" s="15">
        <v>495</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2796</v>
      </c>
      <c r="C52" s="14">
        <f>(2307/B52*100)</f>
        <v>82.510729613733901</v>
      </c>
      <c r="D52" s="15">
        <v>489</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(2335/B53*100)</f>
        <v>83.066524368552123</v>
      </c>
      <c r="D53" s="15">
        <v>476</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(2746/B61*100)</f>
        <v>82.611311672683513</v>
      </c>
      <c r="D61" s="15">
        <v>578</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2246</v>
      </c>
      <c r="C62" s="14">
        <f>(1856/B62*100)</f>
        <v>82.635796972395369</v>
      </c>
      <c r="D62" s="15">
        <v>390</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(2401/B66*100)</f>
        <v>82.964754664823772</v>
      </c>
      <c r="D66" s="15">
        <v>493</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3511</v>
      </c>
      <c r="C67" s="14">
        <f>(2968/B67*100)</f>
        <v>84.534320706351465</v>
      </c>
      <c r="D67" s="15">
        <v>543</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3597</v>
      </c>
      <c r="C73" s="14">
        <f>(2993/B73*100)</f>
        <v>83.208229079788708</v>
      </c>
      <c r="D73" s="15">
        <v>604</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(2020/B75*100)</f>
        <v>83.956774729842067</v>
      </c>
      <c r="D75" s="15">
        <v>386</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7052</v>
      </c>
      <c r="C76" s="14">
        <f>(5873/B76*100)</f>
        <v>83.281338627339764</v>
      </c>
      <c r="D76" s="15">
        <v>1179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2908</v>
      </c>
      <c r="C77" s="14">
        <f>(2401/B77*100)</f>
        <v>82.565337001375511</v>
      </c>
      <c r="D77" s="15">
        <v>507</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(3438/B81*100)</f>
        <v>82.58467451357194</v>
      </c>
      <c r="D81" s="15">
        <v>725</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(6126/B7*100)</f>
        <v>83.154608388760693</v>
      </c>
      <c r="D7" s="15">
        <v>1241</v>
      </c>
      <c r="E7" s="14">
        <v>32.799545289999998</v>
      </c>
      <c r="F7" s="16">
        <v>1.7660710900000001</v>
      </c>
      <c r="G7" s="14">
        <v>67.200454710000002</v>
      </c>
      <c r="H7" s="16">
        <v>1.7660710900000001</v>
      </c>
      <c r="I7" s="14" t="s">
        <v>139</v>
      </c>
      <c r="J7" s="16" t="s">
        <v>139</v>
      </c>
      <c r="K7" s="14">
        <v>0</v>
      </c>
      <c r="L7" s="16">
        <v>0</v>
      </c>
      <c r="M7" s="14">
        <v>0</v>
      </c>
      <c r="N7" s="16">
        <v>0</v>
      </c>
      <c r="O7" s="14">
        <v>0</v>
      </c>
      <c r="P7" s="16">
        <v>0</v>
      </c>
      <c r="Q7" s="14">
        <v>0</v>
      </c>
      <c r="R7" s="16">
        <v>0</v>
      </c>
    </row>
    <row r="8" spans="1:18" x14ac:dyDescent="0.25">
      <c r="A8" s="11" t="s">
        <v>140</v>
      </c>
      <c r="B8" s="13">
        <v>3564</v>
      </c>
      <c r="C8" s="14">
        <f>(2934/B8*100)</f>
        <v>82.323232323232318</v>
      </c>
      <c r="D8" s="15">
        <v>630</v>
      </c>
      <c r="E8" s="14">
        <v>26.97966138</v>
      </c>
      <c r="F8" s="16">
        <v>1.9646933499999999</v>
      </c>
      <c r="G8" s="14">
        <v>73.020338620000004</v>
      </c>
      <c r="H8" s="16">
        <v>1.9646933499999999</v>
      </c>
      <c r="I8" s="14" t="s">
        <v>139</v>
      </c>
      <c r="J8" s="16" t="s">
        <v>139</v>
      </c>
      <c r="K8" s="14">
        <v>0</v>
      </c>
      <c r="L8" s="16">
        <v>0</v>
      </c>
      <c r="M8" s="14">
        <v>0</v>
      </c>
      <c r="N8" s="16">
        <v>0</v>
      </c>
      <c r="O8" s="14">
        <v>0</v>
      </c>
      <c r="P8" s="16">
        <v>0</v>
      </c>
      <c r="Q8" s="14">
        <v>0</v>
      </c>
      <c r="R8" s="16">
        <v>0</v>
      </c>
    </row>
    <row r="9" spans="1:18" x14ac:dyDescent="0.25">
      <c r="A9" s="11" t="s">
        <v>141</v>
      </c>
      <c r="B9" s="13">
        <v>4899</v>
      </c>
      <c r="C9" s="14">
        <f>(4123/B9*100)</f>
        <v>84.160032659726483</v>
      </c>
      <c r="D9" s="15">
        <v>776</v>
      </c>
      <c r="E9" s="14">
        <v>27.001662060000001</v>
      </c>
      <c r="F9" s="16">
        <v>1.8790425500000001</v>
      </c>
      <c r="G9" s="14">
        <v>72.998337939999999</v>
      </c>
      <c r="H9" s="16">
        <v>1.8790425500000001</v>
      </c>
      <c r="I9" s="14" t="s">
        <v>139</v>
      </c>
      <c r="J9" s="16" t="s">
        <v>139</v>
      </c>
      <c r="K9" s="14">
        <v>0</v>
      </c>
      <c r="L9" s="16">
        <v>0</v>
      </c>
      <c r="M9" s="14">
        <v>0</v>
      </c>
      <c r="N9" s="16">
        <v>0</v>
      </c>
      <c r="O9" s="14">
        <v>0</v>
      </c>
      <c r="P9" s="16">
        <v>0</v>
      </c>
      <c r="Q9" s="14">
        <v>0</v>
      </c>
      <c r="R9" s="16">
        <v>0</v>
      </c>
    </row>
    <row r="10" spans="1:18" x14ac:dyDescent="0.25">
      <c r="A10" s="11" t="s">
        <v>142</v>
      </c>
      <c r="B10" s="13">
        <v>10036</v>
      </c>
      <c r="C10" s="14">
        <f>(8327/B10*100)</f>
        <v>82.971303308090867</v>
      </c>
      <c r="D10" s="15">
        <v>1709</v>
      </c>
      <c r="E10" s="14">
        <v>25.600701780000001</v>
      </c>
      <c r="F10" s="16">
        <v>1.47307268</v>
      </c>
      <c r="G10" s="14">
        <v>74.399298220000006</v>
      </c>
      <c r="H10" s="16">
        <v>1.47307268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(2953/B11*100)</f>
        <v>83.112862369828306</v>
      </c>
      <c r="D11" s="15">
        <v>600</v>
      </c>
      <c r="E11" s="14">
        <v>36.996624199999999</v>
      </c>
      <c r="F11" s="16">
        <v>2.3152114199999998</v>
      </c>
      <c r="G11" s="14">
        <v>63.003375800000001</v>
      </c>
      <c r="H11" s="16">
        <v>2.3152114199999998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(2872/B12*100)</f>
        <v>82.718894009216598</v>
      </c>
      <c r="D12" s="15">
        <v>600</v>
      </c>
      <c r="E12" s="14">
        <v>39.461811230000002</v>
      </c>
      <c r="F12" s="16">
        <v>2.4019274300000002</v>
      </c>
      <c r="G12" s="14">
        <v>60.538188769999998</v>
      </c>
      <c r="H12" s="16">
        <v>2.4019274300000002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(2986/B13*100)</f>
        <v>83.899971902219733</v>
      </c>
      <c r="D13" s="15">
        <v>573</v>
      </c>
      <c r="E13" s="14">
        <v>26.55110264</v>
      </c>
      <c r="F13" s="16">
        <v>2.1100059600000001</v>
      </c>
      <c r="G13" s="14">
        <v>73.448897360000004</v>
      </c>
      <c r="H13" s="16">
        <v>2.1100059600000001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24.455164230000001</v>
      </c>
      <c r="F14" s="16">
        <v>2.3389526900000002</v>
      </c>
      <c r="G14" s="14">
        <v>75.544835770000006</v>
      </c>
      <c r="H14" s="16">
        <v>2.3389526900000002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27.224938359999999</v>
      </c>
      <c r="F15" s="16">
        <v>1.8602995099999999</v>
      </c>
      <c r="G15" s="14">
        <v>72.775061640000004</v>
      </c>
      <c r="H15" s="16">
        <v>1.8602995099999999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(2491/B16*100)</f>
        <v>83.116449783116451</v>
      </c>
      <c r="D16" s="15">
        <v>506</v>
      </c>
      <c r="E16" s="14">
        <v>29.46599612</v>
      </c>
      <c r="F16" s="16">
        <v>1.77341722</v>
      </c>
      <c r="G16" s="14">
        <v>70.53400388</v>
      </c>
      <c r="H16" s="16">
        <v>1.77341722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(2768/B17*100)</f>
        <v>83.701239794375567</v>
      </c>
      <c r="D17" s="15">
        <v>539</v>
      </c>
      <c r="E17" s="14">
        <v>26.60740096</v>
      </c>
      <c r="F17" s="16">
        <v>1.88300924</v>
      </c>
      <c r="G17" s="14">
        <v>73.392599039999993</v>
      </c>
      <c r="H17" s="16">
        <v>1.88300924</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34.563315379999999</v>
      </c>
      <c r="F18" s="16">
        <v>2.5386327199999998</v>
      </c>
      <c r="G18" s="14">
        <v>65.436684619999994</v>
      </c>
      <c r="H18" s="16">
        <v>2.5386327199999998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(2333/B19*100)</f>
        <v>83.084045584045583</v>
      </c>
      <c r="D19" s="15">
        <v>475</v>
      </c>
      <c r="E19" s="14">
        <v>30.914897939999999</v>
      </c>
      <c r="F19" s="16">
        <v>2.9480835399999998</v>
      </c>
      <c r="G19" s="14">
        <v>69.085102059999997</v>
      </c>
      <c r="H19" s="16">
        <v>2.9480835399999998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35.214363220000003</v>
      </c>
      <c r="F20" s="16">
        <v>2.74672925</v>
      </c>
      <c r="G20" s="14">
        <v>64.785636780000004</v>
      </c>
      <c r="H20" s="16">
        <v>2.74672925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27.77041483</v>
      </c>
      <c r="F22" s="16">
        <v>2.1245456900000002</v>
      </c>
      <c r="G22" s="14">
        <v>72.229585169999993</v>
      </c>
      <c r="H22" s="16">
        <v>2.1245456900000002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28.226767200000001</v>
      </c>
      <c r="F23" s="16">
        <v>2.1615566400000001</v>
      </c>
      <c r="G23" s="14">
        <v>71.773232800000002</v>
      </c>
      <c r="H23" s="16">
        <v>2.1615566400000001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23.037233919999998</v>
      </c>
      <c r="F24" s="16">
        <v>1.75411439</v>
      </c>
      <c r="G24" s="14">
        <v>76.962766079999994</v>
      </c>
      <c r="H24" s="16">
        <v>1.75411439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17.487678169999999</v>
      </c>
      <c r="F25" s="16">
        <v>1.80356921</v>
      </c>
      <c r="G25" s="14">
        <v>82.512321830000005</v>
      </c>
      <c r="H25" s="16">
        <v>1.80356921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(2011/B26*100)</f>
        <v>82.08163265306122</v>
      </c>
      <c r="D26" s="15">
        <v>439</v>
      </c>
      <c r="E26" s="14">
        <v>33.594898610000001</v>
      </c>
      <c r="F26" s="16">
        <v>2.4210845399999998</v>
      </c>
      <c r="G26" s="14">
        <v>66.405101389999999</v>
      </c>
      <c r="H26" s="16">
        <v>2.4210845399999998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(2162/B27*100)</f>
        <v>82.645259938837924</v>
      </c>
      <c r="D27" s="15">
        <v>454</v>
      </c>
      <c r="E27" s="14">
        <v>33.30936269</v>
      </c>
      <c r="F27" s="16">
        <v>2.0243602300000001</v>
      </c>
      <c r="G27" s="14">
        <v>66.69063731</v>
      </c>
      <c r="H27" s="16">
        <v>2.0243602300000001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(3140/B28*100)</f>
        <v>83.399734395750329</v>
      </c>
      <c r="D28" s="15">
        <v>625</v>
      </c>
      <c r="E28" s="14">
        <v>40.293064080000001</v>
      </c>
      <c r="F28" s="16">
        <v>1.9338572000000001</v>
      </c>
      <c r="G28" s="14">
        <v>59.706935919999999</v>
      </c>
      <c r="H28" s="16">
        <v>1.9338572000000001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20.67196371</v>
      </c>
      <c r="F29" s="16">
        <v>2.06008572</v>
      </c>
      <c r="G29" s="14">
        <v>79.32803629</v>
      </c>
      <c r="H29" s="16">
        <v>2.06008572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(1869/B30*100)</f>
        <v>82.58948298718515</v>
      </c>
      <c r="D30" s="15">
        <v>394</v>
      </c>
      <c r="E30" s="14">
        <v>29.507938830000001</v>
      </c>
      <c r="F30" s="16">
        <v>2.4702076399999999</v>
      </c>
      <c r="G30" s="14">
        <v>70.492061169999999</v>
      </c>
      <c r="H30" s="16">
        <v>2.4702076399999999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29.892825049999999</v>
      </c>
      <c r="F31" s="16">
        <v>2.1855733100000001</v>
      </c>
      <c r="G31" s="14">
        <v>70.107174950000001</v>
      </c>
      <c r="H31" s="16">
        <v>2.1855733100000001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(3070/B33*100)</f>
        <v>83.560152422427876</v>
      </c>
      <c r="D33" s="15">
        <v>604</v>
      </c>
      <c r="E33" s="14">
        <v>24.888182019999999</v>
      </c>
      <c r="F33" s="16">
        <v>2.0755455299999999</v>
      </c>
      <c r="G33" s="14">
        <v>75.111817979999998</v>
      </c>
      <c r="H33" s="16">
        <v>2.0755455299999999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(2751/B34*100)</f>
        <v>82.986425339366519</v>
      </c>
      <c r="D34" s="15">
        <v>564</v>
      </c>
      <c r="E34" s="14">
        <v>39.016455360000002</v>
      </c>
      <c r="F34" s="16">
        <v>1.9986623699999999</v>
      </c>
      <c r="G34" s="14">
        <v>60.983544639999998</v>
      </c>
      <c r="H34" s="16">
        <v>1.9986623699999999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29.42996913</v>
      </c>
      <c r="F35" s="16">
        <v>2.2658763500000001</v>
      </c>
      <c r="G35" s="14">
        <v>70.570030869999997</v>
      </c>
      <c r="H35" s="16">
        <v>2.2658763500000001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(2762/B36*100)</f>
        <v>82.893157262905163</v>
      </c>
      <c r="D36" s="15">
        <v>570</v>
      </c>
      <c r="E36" s="14">
        <v>32.853439250000001</v>
      </c>
      <c r="F36" s="16">
        <v>2.1153743</v>
      </c>
      <c r="G36" s="14">
        <v>67.146560750000006</v>
      </c>
      <c r="H36" s="16">
        <v>2.1153743</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(2265/B37*100)</f>
        <v>83.058305830583052</v>
      </c>
      <c r="D37" s="15">
        <v>462</v>
      </c>
      <c r="E37" s="14">
        <v>24.905493310000001</v>
      </c>
      <c r="F37" s="16">
        <v>2.0910620400000002</v>
      </c>
      <c r="G37" s="14">
        <v>75.094506690000003</v>
      </c>
      <c r="H37" s="16">
        <v>2.0910620400000002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47.508201909999997</v>
      </c>
      <c r="F39" s="16">
        <v>2.8900387599999999</v>
      </c>
      <c r="G39" s="14">
        <v>52.491798090000003</v>
      </c>
      <c r="H39" s="16">
        <v>2.8900387599999999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32.513267939999999</v>
      </c>
      <c r="F40" s="16">
        <v>2.1925931300000001</v>
      </c>
      <c r="G40" s="14">
        <v>67.486732059999994</v>
      </c>
      <c r="H40" s="16">
        <v>2.1925931300000001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29.182273670000001</v>
      </c>
      <c r="F41" s="16">
        <v>2.1484894799999998</v>
      </c>
      <c r="G41" s="14">
        <v>70.817726329999999</v>
      </c>
      <c r="H41" s="16">
        <v>2.1484894799999998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83.033977611446062</v>
      </c>
      <c r="D42" s="15">
        <f>IF(COUNT(D7:D41) &gt; 0, AVERAGE(D7:D41), "—")</f>
        <v>619.46875</v>
      </c>
      <c r="E42" s="14">
        <f>IF(COUNT(E7:E41) &gt; 0, AVERAGE(E7:E41), "—")</f>
        <v>30.247706702187504</v>
      </c>
      <c r="F42" s="16">
        <f>IF(COUNT(F7:F41) &gt; 0, SQRT(SUMSQ(F7:F41)/(COUNT(F7:F41)*COUNT(F7:F41)) ), "—")</f>
        <v>0.38395766925259778</v>
      </c>
      <c r="G42" s="14">
        <f>IF(COUNT(G7:G41) &gt; 0, AVERAGE(G7:G41), "—")</f>
        <v>69.7522932978125</v>
      </c>
      <c r="H42" s="16">
        <f>IF(COUNT(H7:H41) &gt; 0, SQRT(SUMSQ(H7:H41)/(COUNT(H7:H41)*COUNT(H7:H41)) ), "—")</f>
        <v>0.38395766925259778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(9537/B46*100)</f>
        <v>86.167329237441265</v>
      </c>
      <c r="D46" s="15">
        <v>1531</v>
      </c>
      <c r="E46" s="14">
        <v>41.442434480000003</v>
      </c>
      <c r="F46" s="16">
        <v>1.6077377100000001</v>
      </c>
      <c r="G46" s="14">
        <v>58.557565519999997</v>
      </c>
      <c r="H46" s="16">
        <v>1.6077377100000001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(2574/B47*100)</f>
        <v>82.898550724637673</v>
      </c>
      <c r="D47" s="15">
        <v>531</v>
      </c>
      <c r="E47" s="14">
        <v>37.46028063</v>
      </c>
      <c r="F47" s="16">
        <v>2.5838703000000001</v>
      </c>
      <c r="G47" s="14">
        <v>62.53971937</v>
      </c>
      <c r="H47" s="16">
        <v>2.5838703000000001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(4289/B48*100)</f>
        <v>83.136266718356268</v>
      </c>
      <c r="D48" s="15">
        <v>870</v>
      </c>
      <c r="E48" s="14">
        <v>32.207990930000001</v>
      </c>
      <c r="F48" s="16">
        <v>1.91132974</v>
      </c>
      <c r="G48" s="14">
        <v>67.792009070000006</v>
      </c>
      <c r="H48" s="16">
        <v>1.91132974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(4686/B50*100)</f>
        <v>83.129324108568397</v>
      </c>
      <c r="D50" s="15">
        <v>951</v>
      </c>
      <c r="E50" s="14">
        <v>45.34282469</v>
      </c>
      <c r="F50" s="16">
        <v>2.00521898</v>
      </c>
      <c r="G50" s="14">
        <v>54.65717531</v>
      </c>
      <c r="H50" s="16">
        <v>2.00521898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(2877/B51*100)</f>
        <v>85.320284697508896</v>
      </c>
      <c r="D51" s="15">
        <v>495</v>
      </c>
      <c r="E51" s="14">
        <v>37.349256619999998</v>
      </c>
      <c r="F51" s="16">
        <v>2.03123677</v>
      </c>
      <c r="G51" s="14">
        <v>62.650743380000002</v>
      </c>
      <c r="H51" s="16">
        <v>2.03123677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(2307/B52*100)</f>
        <v>82.510729613733901</v>
      </c>
      <c r="D52" s="15">
        <v>489</v>
      </c>
      <c r="E52" s="14">
        <v>27.973065590000001</v>
      </c>
      <c r="F52" s="16">
        <v>2.4117739199999999</v>
      </c>
      <c r="G52" s="14">
        <v>72.026934409999996</v>
      </c>
      <c r="H52" s="16">
        <v>2.4117739199999999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(2335/B53*100)</f>
        <v>83.066524368552123</v>
      </c>
      <c r="D53" s="15">
        <v>476</v>
      </c>
      <c r="E53" s="14">
        <v>37.246213730000001</v>
      </c>
      <c r="F53" s="16">
        <v>2.19016615</v>
      </c>
      <c r="G53" s="14">
        <v>62.753786269999999</v>
      </c>
      <c r="H53" s="16">
        <v>2.19016615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26.650189220000001</v>
      </c>
      <c r="F56" s="16">
        <v>2.1775531300000002</v>
      </c>
      <c r="G56" s="14">
        <v>73.349810779999999</v>
      </c>
      <c r="H56" s="16">
        <v>2.1775531300000002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(2746/B61*100)</f>
        <v>82.611311672683513</v>
      </c>
      <c r="D61" s="15">
        <v>578</v>
      </c>
      <c r="E61" s="14">
        <v>30.459369129999999</v>
      </c>
      <c r="F61" s="16">
        <v>2.137</v>
      </c>
      <c r="G61" s="14">
        <v>69.540630870000001</v>
      </c>
      <c r="H61" s="16">
        <v>2.137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30.05527472</v>
      </c>
      <c r="F62" s="16">
        <v>2.1035397800000002</v>
      </c>
      <c r="G62" s="14">
        <v>69.94472528</v>
      </c>
      <c r="H62" s="16">
        <v>2.1035397800000002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(2401/B66*100)</f>
        <v>82.964754664823772</v>
      </c>
      <c r="D66" s="15">
        <v>493</v>
      </c>
      <c r="E66" s="14">
        <v>46.81397827</v>
      </c>
      <c r="F66" s="16">
        <v>2.2628953300000001</v>
      </c>
      <c r="G66" s="14">
        <v>53.18602173</v>
      </c>
      <c r="H66" s="16">
        <v>2.2628953300000001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44.558491140000001</v>
      </c>
      <c r="F67" s="16">
        <v>2.2474101599999998</v>
      </c>
      <c r="G67" s="14">
        <v>55.441508859999999</v>
      </c>
      <c r="H67" s="16">
        <v>2.2474101599999998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32.260557679999998</v>
      </c>
      <c r="F70" s="16">
        <v>2.4494275299999999</v>
      </c>
      <c r="G70" s="14">
        <v>67.739442319999995</v>
      </c>
      <c r="H70" s="16">
        <v>2.4494275299999999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28.19858563</v>
      </c>
      <c r="F72" s="16">
        <v>1.7467743</v>
      </c>
      <c r="G72" s="14">
        <v>71.801414370000003</v>
      </c>
      <c r="H72" s="16">
        <v>1.7467743</v>
      </c>
      <c r="I72" s="14" t="s">
        <v>139</v>
      </c>
      <c r="J72" s="16" t="s">
        <v>139</v>
      </c>
      <c r="K72" s="14">
        <v>0</v>
      </c>
      <c r="L72" s="16">
        <v>0</v>
      </c>
      <c r="M72" s="14">
        <v>0</v>
      </c>
      <c r="N72" s="16">
        <v>0</v>
      </c>
      <c r="O72" s="14">
        <v>0</v>
      </c>
      <c r="P72" s="16">
        <v>0</v>
      </c>
      <c r="Q72" s="14">
        <v>0</v>
      </c>
      <c r="R72" s="16">
        <v>0</v>
      </c>
    </row>
    <row r="73" spans="1:18" x14ac:dyDescent="0.25">
      <c r="A73" s="11" t="s">
        <v>206</v>
      </c>
      <c r="B73" s="13">
        <v>3597</v>
      </c>
      <c r="C73" s="14">
        <f>(2993/B73*100)</f>
        <v>83.208229079788708</v>
      </c>
      <c r="D73" s="15">
        <v>604</v>
      </c>
      <c r="E73" s="14">
        <v>41.5360303</v>
      </c>
      <c r="F73" s="16">
        <v>2.5271285899999998</v>
      </c>
      <c r="G73" s="14">
        <v>58.4639697</v>
      </c>
      <c r="H73" s="16">
        <v>2.5271285899999998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(2020/B75*100)</f>
        <v>83.956774729842067</v>
      </c>
      <c r="D75" s="15">
        <v>386</v>
      </c>
      <c r="E75" s="14">
        <v>47.954145709999999</v>
      </c>
      <c r="F75" s="16">
        <v>2.8447380299999998</v>
      </c>
      <c r="G75" s="14">
        <v>52.045854290000001</v>
      </c>
      <c r="H75" s="16">
        <v>2.8447380299999998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(5873/B76*100)</f>
        <v>83.281338627339764</v>
      </c>
      <c r="D76" s="15">
        <v>1179</v>
      </c>
      <c r="E76" s="14">
        <v>48.746073150000001</v>
      </c>
      <c r="F76" s="16">
        <v>1.68776967</v>
      </c>
      <c r="G76" s="14">
        <v>51.253926849999999</v>
      </c>
      <c r="H76" s="16">
        <v>1.68776967</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(2401/B77*100)</f>
        <v>82.565337001375511</v>
      </c>
      <c r="D77" s="15">
        <v>507</v>
      </c>
      <c r="E77" s="14">
        <v>38.459146240000003</v>
      </c>
      <c r="F77" s="16">
        <v>2.6848336000000002</v>
      </c>
      <c r="G77" s="14">
        <v>61.540853759999997</v>
      </c>
      <c r="H77" s="16">
        <v>2.6848336000000002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(3438/B81*100)</f>
        <v>82.58467451357194</v>
      </c>
      <c r="D81" s="15">
        <v>725</v>
      </c>
      <c r="E81" s="14">
        <v>36.879785210000001</v>
      </c>
      <c r="F81" s="16">
        <v>2.5941378099999999</v>
      </c>
      <c r="G81" s="14">
        <v>63.120214789999999</v>
      </c>
      <c r="H81" s="16">
        <v>2.5941378099999999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(6126/B7*100)</f>
        <v>83.154608388760693</v>
      </c>
      <c r="D7" s="15">
        <v>1241</v>
      </c>
      <c r="E7" s="14">
        <v>4.7239463500000003</v>
      </c>
      <c r="F7" s="16">
        <v>0.77631735000000002</v>
      </c>
      <c r="G7" s="14">
        <v>95.276053649999994</v>
      </c>
      <c r="H7" s="16">
        <v>0.77631735000000002</v>
      </c>
      <c r="I7" s="14" t="s">
        <v>139</v>
      </c>
      <c r="J7" s="16" t="s">
        <v>139</v>
      </c>
      <c r="K7" s="14">
        <v>0</v>
      </c>
      <c r="L7" s="16">
        <v>0</v>
      </c>
      <c r="M7" s="14">
        <v>0</v>
      </c>
      <c r="N7" s="16">
        <v>0</v>
      </c>
      <c r="O7" s="14">
        <v>0</v>
      </c>
      <c r="P7" s="16">
        <v>0</v>
      </c>
      <c r="Q7" s="14">
        <v>0</v>
      </c>
      <c r="R7" s="16">
        <v>0</v>
      </c>
    </row>
    <row r="8" spans="1:18" x14ac:dyDescent="0.25">
      <c r="A8" s="11" t="s">
        <v>140</v>
      </c>
      <c r="B8" s="13">
        <v>3564</v>
      </c>
      <c r="C8" s="14">
        <f>(2934/B8*100)</f>
        <v>82.323232323232318</v>
      </c>
      <c r="D8" s="15">
        <v>630</v>
      </c>
      <c r="E8" s="14">
        <v>5.4875130399999996</v>
      </c>
      <c r="F8" s="16">
        <v>1.0531142899999999</v>
      </c>
      <c r="G8" s="14">
        <v>94.512486960000004</v>
      </c>
      <c r="H8" s="16">
        <v>1.0531142899999999</v>
      </c>
      <c r="I8" s="14" t="s">
        <v>139</v>
      </c>
      <c r="J8" s="16" t="s">
        <v>139</v>
      </c>
      <c r="K8" s="14">
        <v>0</v>
      </c>
      <c r="L8" s="16">
        <v>0</v>
      </c>
      <c r="M8" s="14">
        <v>0</v>
      </c>
      <c r="N8" s="16">
        <v>0</v>
      </c>
      <c r="O8" s="14">
        <v>0</v>
      </c>
      <c r="P8" s="16">
        <v>0</v>
      </c>
      <c r="Q8" s="14">
        <v>0</v>
      </c>
      <c r="R8" s="16">
        <v>0</v>
      </c>
    </row>
    <row r="9" spans="1:18" x14ac:dyDescent="0.25">
      <c r="A9" s="11" t="s">
        <v>141</v>
      </c>
      <c r="B9" s="13">
        <v>4899</v>
      </c>
      <c r="C9" s="14">
        <f>(4123/B9*100)</f>
        <v>84.160032659726483</v>
      </c>
      <c r="D9" s="15">
        <v>776</v>
      </c>
      <c r="E9" s="14">
        <v>4.4084817599999999</v>
      </c>
      <c r="F9" s="16">
        <v>0.64045516999999996</v>
      </c>
      <c r="G9" s="14">
        <v>95.591518239999999</v>
      </c>
      <c r="H9" s="16">
        <v>0.64045516999999996</v>
      </c>
      <c r="I9" s="14" t="s">
        <v>139</v>
      </c>
      <c r="J9" s="16" t="s">
        <v>139</v>
      </c>
      <c r="K9" s="14">
        <v>0</v>
      </c>
      <c r="L9" s="16">
        <v>0</v>
      </c>
      <c r="M9" s="14">
        <v>0</v>
      </c>
      <c r="N9" s="16">
        <v>0</v>
      </c>
      <c r="O9" s="14">
        <v>0</v>
      </c>
      <c r="P9" s="16">
        <v>0</v>
      </c>
      <c r="Q9" s="14">
        <v>0</v>
      </c>
      <c r="R9" s="16">
        <v>0</v>
      </c>
    </row>
    <row r="10" spans="1:18" x14ac:dyDescent="0.25">
      <c r="A10" s="11" t="s">
        <v>142</v>
      </c>
      <c r="B10" s="13">
        <v>10036</v>
      </c>
      <c r="C10" s="14">
        <f>(8327/B10*100)</f>
        <v>82.971303308090867</v>
      </c>
      <c r="D10" s="15">
        <v>1709</v>
      </c>
      <c r="E10" s="14">
        <v>3.9042643799999999</v>
      </c>
      <c r="F10" s="16">
        <v>0.59043809999999997</v>
      </c>
      <c r="G10" s="14">
        <v>96.095735619999999</v>
      </c>
      <c r="H10" s="16">
        <v>0.59043809999999997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(2953/B11*100)</f>
        <v>83.112862369828306</v>
      </c>
      <c r="D11" s="15">
        <v>600</v>
      </c>
      <c r="E11" s="14">
        <v>6.9618750900000004</v>
      </c>
      <c r="F11" s="16">
        <v>1.3478945</v>
      </c>
      <c r="G11" s="14">
        <v>93.038124909999993</v>
      </c>
      <c r="H11" s="16">
        <v>1.3478945</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(2872/B12*100)</f>
        <v>82.718894009216598</v>
      </c>
      <c r="D12" s="15">
        <v>600</v>
      </c>
      <c r="E12" s="14">
        <v>1.8481485</v>
      </c>
      <c r="F12" s="16">
        <v>0.45436416000000002</v>
      </c>
      <c r="G12" s="14">
        <v>98.151851500000006</v>
      </c>
      <c r="H12" s="16">
        <v>0.45436416000000002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(2986/B13*100)</f>
        <v>83.899971902219733</v>
      </c>
      <c r="D13" s="15">
        <v>573</v>
      </c>
      <c r="E13" s="14">
        <v>4.0472128300000003</v>
      </c>
      <c r="F13" s="16">
        <v>0.99168897</v>
      </c>
      <c r="G13" s="14">
        <v>95.952787169999993</v>
      </c>
      <c r="H13" s="16">
        <v>0.99168897</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1.7113286700000001</v>
      </c>
      <c r="F14" s="16">
        <v>0.65534914</v>
      </c>
      <c r="G14" s="14">
        <v>98.28867133</v>
      </c>
      <c r="H14" s="16">
        <v>0.65534914</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(2521/B15*100)</f>
        <v>83.504471679364016</v>
      </c>
      <c r="D15" s="15">
        <v>498</v>
      </c>
      <c r="E15" s="14">
        <v>2.69190387</v>
      </c>
      <c r="F15" s="16">
        <v>0.65618310999999996</v>
      </c>
      <c r="G15" s="14">
        <v>97.308096129999996</v>
      </c>
      <c r="H15" s="16">
        <v>0.65618310999999996</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(2491/B16*100)</f>
        <v>83.116449783116451</v>
      </c>
      <c r="D16" s="15">
        <v>506</v>
      </c>
      <c r="E16" s="14">
        <v>7.91165713</v>
      </c>
      <c r="F16" s="16">
        <v>1.55207881</v>
      </c>
      <c r="G16" s="14">
        <v>92.088342870000005</v>
      </c>
      <c r="H16" s="16">
        <v>1.55207881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(2768/B17*100)</f>
        <v>83.701239794375567</v>
      </c>
      <c r="D17" s="15">
        <v>539</v>
      </c>
      <c r="E17" s="14">
        <v>4.8853857700000001</v>
      </c>
      <c r="F17" s="16">
        <v>1.26524741</v>
      </c>
      <c r="G17" s="14">
        <v>95.114614230000001</v>
      </c>
      <c r="H17" s="16">
        <v>1.26524741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(2334/B18*100)</f>
        <v>82.590233545647564</v>
      </c>
      <c r="D18" s="15">
        <v>492</v>
      </c>
      <c r="E18" s="14">
        <v>8.9265394600000008</v>
      </c>
      <c r="F18" s="16">
        <v>1.5155687499999999</v>
      </c>
      <c r="G18" s="14">
        <v>91.073460539999999</v>
      </c>
      <c r="H18" s="16">
        <v>1.5155687499999999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(2333/B19*100)</f>
        <v>83.084045584045583</v>
      </c>
      <c r="D19" s="15">
        <v>475</v>
      </c>
      <c r="E19" s="14">
        <v>4.9408367599999998</v>
      </c>
      <c r="F19" s="16">
        <v>1.13329627</v>
      </c>
      <c r="G19" s="14">
        <v>95.059163240000004</v>
      </c>
      <c r="H19" s="16">
        <v>1.13329627</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6.1024903100000003</v>
      </c>
      <c r="F20" s="16">
        <v>1.4095445200000001</v>
      </c>
      <c r="G20" s="14">
        <v>93.897509690000007</v>
      </c>
      <c r="H20" s="16">
        <v>1.4095445200000001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14.66330917</v>
      </c>
      <c r="F22" s="16">
        <v>1.81354737</v>
      </c>
      <c r="G22" s="14">
        <v>85.336690829999995</v>
      </c>
      <c r="H22" s="16">
        <v>1.81354737</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(4811/B23*100)</f>
        <v>83.077188741150067</v>
      </c>
      <c r="D23" s="15">
        <v>980</v>
      </c>
      <c r="E23" s="14">
        <v>5.8336731300000002</v>
      </c>
      <c r="F23" s="16">
        <v>0.99473763000000004</v>
      </c>
      <c r="G23" s="14">
        <v>94.166326870000006</v>
      </c>
      <c r="H23" s="16">
        <v>0.99473763000000004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(2746/B24*100)</f>
        <v>82.264829239065307</v>
      </c>
      <c r="D24" s="15">
        <v>592</v>
      </c>
      <c r="E24" s="14">
        <v>3.7437997699999999</v>
      </c>
      <c r="F24" s="16">
        <v>0.78125078000000003</v>
      </c>
      <c r="G24" s="14">
        <v>96.256200230000005</v>
      </c>
      <c r="H24" s="16">
        <v>0.78125078000000003</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2.5293346400000001</v>
      </c>
      <c r="F25" s="16">
        <v>0.68996749999999996</v>
      </c>
      <c r="G25" s="14">
        <v>97.470665359999998</v>
      </c>
      <c r="H25" s="16">
        <v>0.68996749999999996</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(2011/B26*100)</f>
        <v>82.08163265306122</v>
      </c>
      <c r="D26" s="15">
        <v>439</v>
      </c>
      <c r="E26" s="14">
        <v>6.9514828099999999</v>
      </c>
      <c r="F26" s="16">
        <v>1.25368609</v>
      </c>
      <c r="G26" s="14">
        <v>93.048517189999998</v>
      </c>
      <c r="H26" s="16">
        <v>1.25368609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(2162/B27*100)</f>
        <v>82.645259938837924</v>
      </c>
      <c r="D27" s="15">
        <v>454</v>
      </c>
      <c r="E27" s="14">
        <v>7.1193323099999999</v>
      </c>
      <c r="F27" s="16">
        <v>1.1349595400000001</v>
      </c>
      <c r="G27" s="14">
        <v>92.880667689999996</v>
      </c>
      <c r="H27" s="16">
        <v>1.1349595400000001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(3140/B28*100)</f>
        <v>83.399734395750329</v>
      </c>
      <c r="D28" s="15">
        <v>625</v>
      </c>
      <c r="E28" s="14">
        <v>18.448404660000001</v>
      </c>
      <c r="F28" s="16">
        <v>1.7765988500000001</v>
      </c>
      <c r="G28" s="14">
        <v>81.551595340000006</v>
      </c>
      <c r="H28" s="16">
        <v>1.7765988500000001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3.8682253900000001</v>
      </c>
      <c r="F29" s="16">
        <v>0.96513654999999998</v>
      </c>
      <c r="G29" s="14">
        <v>96.131774609999994</v>
      </c>
      <c r="H29" s="16">
        <v>0.96513654999999998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(1869/B30*100)</f>
        <v>82.58948298718515</v>
      </c>
      <c r="D30" s="15">
        <v>394</v>
      </c>
      <c r="E30" s="14">
        <v>3.8928812000000002</v>
      </c>
      <c r="F30" s="16">
        <v>0.94530413000000002</v>
      </c>
      <c r="G30" s="14">
        <v>96.107118799999995</v>
      </c>
      <c r="H30" s="16">
        <v>0.94530413000000002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4.66370284</v>
      </c>
      <c r="F31" s="16">
        <v>0.99123320999999998</v>
      </c>
      <c r="G31" s="14">
        <v>95.336297160000001</v>
      </c>
      <c r="H31" s="16">
        <v>0.99123320999999998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(3070/B33*100)</f>
        <v>83.560152422427876</v>
      </c>
      <c r="D33" s="15">
        <v>604</v>
      </c>
      <c r="E33" s="14">
        <v>4.5674069299999998</v>
      </c>
      <c r="F33" s="16">
        <v>1.3077793900000001</v>
      </c>
      <c r="G33" s="14">
        <v>95.432593069999996</v>
      </c>
      <c r="H33" s="16">
        <v>1.3077793900000001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(2751/B34*100)</f>
        <v>82.986425339366519</v>
      </c>
      <c r="D34" s="15">
        <v>564</v>
      </c>
      <c r="E34" s="14">
        <v>7.9551914699999999</v>
      </c>
      <c r="F34" s="16">
        <v>1.19731253</v>
      </c>
      <c r="G34" s="14">
        <v>92.044808529999997</v>
      </c>
      <c r="H34" s="16">
        <v>1.19731253</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3.0123043900000002</v>
      </c>
      <c r="F35" s="16">
        <v>0.67722908000000004</v>
      </c>
      <c r="G35" s="14">
        <v>96.987695610000003</v>
      </c>
      <c r="H35" s="16">
        <v>0.67722908000000004</v>
      </c>
      <c r="I35" s="14" t="s">
        <v>139</v>
      </c>
      <c r="J35" s="16" t="s">
        <v>139</v>
      </c>
      <c r="K35" s="14">
        <v>0</v>
      </c>
      <c r="L35" s="16">
        <v>0</v>
      </c>
      <c r="M35" s="14">
        <v>0</v>
      </c>
      <c r="N35" s="16">
        <v>0</v>
      </c>
      <c r="O35" s="14">
        <v>0</v>
      </c>
      <c r="P35" s="16">
        <v>0</v>
      </c>
      <c r="Q35" s="14">
        <v>0</v>
      </c>
      <c r="R35" s="16">
        <v>0</v>
      </c>
    </row>
    <row r="36" spans="1:18" x14ac:dyDescent="0.25">
      <c r="A36" s="11" t="s">
        <v>169</v>
      </c>
      <c r="B36" s="13">
        <v>3332</v>
      </c>
      <c r="C36" s="14">
        <f>(2762/B36*100)</f>
        <v>82.893157262905163</v>
      </c>
      <c r="D36" s="15">
        <v>570</v>
      </c>
      <c r="E36" s="14">
        <v>7.7063412700000002</v>
      </c>
      <c r="F36" s="16">
        <v>1.1792624199999999</v>
      </c>
      <c r="G36" s="14">
        <v>92.293658730000004</v>
      </c>
      <c r="H36" s="16">
        <v>1.1792624199999999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(2265/B37*100)</f>
        <v>83.058305830583052</v>
      </c>
      <c r="D37" s="15">
        <v>462</v>
      </c>
      <c r="E37" s="14">
        <v>3.2565145000000002</v>
      </c>
      <c r="F37" s="16">
        <v>0.82333668000000004</v>
      </c>
      <c r="G37" s="14">
        <v>96.743485500000006</v>
      </c>
      <c r="H37" s="16">
        <v>0.82333668000000004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18.89353492</v>
      </c>
      <c r="F39" s="16">
        <v>1.7636318</v>
      </c>
      <c r="G39" s="14">
        <v>81.106465080000007</v>
      </c>
      <c r="H39" s="16">
        <v>1.7636318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3.5101751700000001</v>
      </c>
      <c r="F40" s="16">
        <v>0.69469955000000005</v>
      </c>
      <c r="G40" s="14">
        <v>96.489824830000003</v>
      </c>
      <c r="H40" s="16">
        <v>0.69469955000000005</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(2393/B41*100)</f>
        <v>83.729881035689289</v>
      </c>
      <c r="D41" s="15">
        <v>465</v>
      </c>
      <c r="E41" s="14">
        <v>5.26060412</v>
      </c>
      <c r="F41" s="16">
        <v>1.04407552</v>
      </c>
      <c r="G41" s="14">
        <v>94.739395880000004</v>
      </c>
      <c r="H41" s="16">
        <v>1.04407552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83.033977611446062</v>
      </c>
      <c r="D42" s="15">
        <f>IF(COUNT(D7:D41) &gt; 0, AVERAGE(D7:D41), "—")</f>
        <v>619.46875</v>
      </c>
      <c r="E42" s="14">
        <f>IF(COUNT(E7:E41) &gt; 0, AVERAGE(E7:E41), "—")</f>
        <v>6.0758688315625005</v>
      </c>
      <c r="F42" s="16">
        <f>IF(COUNT(F7:F41) &gt; 0, SQRT(SUMSQ(F7:F41)/(COUNT(F7:F41)*COUNT(F7:F41)) ), "—")</f>
        <v>0.19877064048439028</v>
      </c>
      <c r="G42" s="14">
        <f>IF(COUNT(G7:G41) &gt; 0, AVERAGE(G7:G41), "—")</f>
        <v>93.924131168437512</v>
      </c>
      <c r="H42" s="16">
        <f>IF(COUNT(H7:H41) &gt; 0, SQRT(SUMSQ(H7:H41)/(COUNT(H7:H41)*COUNT(H7:H41)) ), "—")</f>
        <v>0.19877064048439028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(9537/B46*100)</f>
        <v>86.167329237441265</v>
      </c>
      <c r="D46" s="15">
        <v>1531</v>
      </c>
      <c r="E46" s="14">
        <v>19.708007630000001</v>
      </c>
      <c r="F46" s="16">
        <v>1.4308869099999999</v>
      </c>
      <c r="G46" s="14">
        <v>80.291992370000003</v>
      </c>
      <c r="H46" s="16">
        <v>1.4308869099999999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(2574/B47*100)</f>
        <v>82.898550724637673</v>
      </c>
      <c r="D47" s="15">
        <v>531</v>
      </c>
      <c r="E47" s="14">
        <v>14.817542420000001</v>
      </c>
      <c r="F47" s="16">
        <v>1.8267535399999999</v>
      </c>
      <c r="G47" s="14">
        <v>85.182457580000005</v>
      </c>
      <c r="H47" s="16">
        <v>1.8267535399999999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(4289/B48*100)</f>
        <v>83.136266718356268</v>
      </c>
      <c r="D48" s="15">
        <v>870</v>
      </c>
      <c r="E48" s="14">
        <v>9.9574091599999992</v>
      </c>
      <c r="F48" s="16">
        <v>1.3710284699999999</v>
      </c>
      <c r="G48" s="14">
        <v>90.042590840000003</v>
      </c>
      <c r="H48" s="16">
        <v>1.3710284699999999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(4686/B50*100)</f>
        <v>83.129324108568397</v>
      </c>
      <c r="D50" s="15">
        <v>951</v>
      </c>
      <c r="E50" s="14">
        <v>13.620062860000001</v>
      </c>
      <c r="F50" s="16">
        <v>1.51900714</v>
      </c>
      <c r="G50" s="14">
        <v>86.379937139999996</v>
      </c>
      <c r="H50" s="16">
        <v>1.51900714</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(2877/B51*100)</f>
        <v>85.320284697508896</v>
      </c>
      <c r="D51" s="15">
        <v>495</v>
      </c>
      <c r="E51" s="14">
        <v>11.87976722</v>
      </c>
      <c r="F51" s="16">
        <v>1.4444675300000001</v>
      </c>
      <c r="G51" s="14">
        <v>88.120232779999995</v>
      </c>
      <c r="H51" s="16">
        <v>1.4444675300000001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(2307/B52*100)</f>
        <v>82.510729613733901</v>
      </c>
      <c r="D52" s="15">
        <v>489</v>
      </c>
      <c r="E52" s="14">
        <v>6.6164141900000004</v>
      </c>
      <c r="F52" s="16">
        <v>1.0374574700000001</v>
      </c>
      <c r="G52" s="14">
        <v>93.38358581</v>
      </c>
      <c r="H52" s="16">
        <v>1.0374574700000001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(2335/B53*100)</f>
        <v>83.066524368552123</v>
      </c>
      <c r="D53" s="15">
        <v>476</v>
      </c>
      <c r="E53" s="14">
        <v>11.772925969999999</v>
      </c>
      <c r="F53" s="16">
        <v>1.51514708</v>
      </c>
      <c r="G53" s="14">
        <v>88.227074029999997</v>
      </c>
      <c r="H53" s="16">
        <v>1.51514708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4.35555994</v>
      </c>
      <c r="F56" s="16">
        <v>0.90288639999999998</v>
      </c>
      <c r="G56" s="14">
        <v>95.644440059999994</v>
      </c>
      <c r="H56" s="16">
        <v>0.90288639999999998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(2746/B61*100)</f>
        <v>82.611311672683513</v>
      </c>
      <c r="D61" s="15">
        <v>578</v>
      </c>
      <c r="E61" s="14">
        <v>6.3226463199999996</v>
      </c>
      <c r="F61" s="16">
        <v>1.2066901299999999</v>
      </c>
      <c r="G61" s="14">
        <v>93.677353679999996</v>
      </c>
      <c r="H61" s="16">
        <v>1.2066901299999999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(1856/B62*100)</f>
        <v>82.635796972395369</v>
      </c>
      <c r="D62" s="15">
        <v>390</v>
      </c>
      <c r="E62" s="14">
        <v>4.3551185300000004</v>
      </c>
      <c r="F62" s="16">
        <v>0.95626420000000001</v>
      </c>
      <c r="G62" s="14">
        <v>95.644881470000001</v>
      </c>
      <c r="H62" s="16">
        <v>0.95626420000000001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(2401/B66*100)</f>
        <v>82.964754664823772</v>
      </c>
      <c r="D66" s="15">
        <v>493</v>
      </c>
      <c r="E66" s="14">
        <v>14.92335712</v>
      </c>
      <c r="F66" s="16">
        <v>1.4896611799999999</v>
      </c>
      <c r="G66" s="14">
        <v>85.076642879999994</v>
      </c>
      <c r="H66" s="16">
        <v>1.4896611799999999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19.92484142</v>
      </c>
      <c r="F67" s="16">
        <v>1.6611179</v>
      </c>
      <c r="G67" s="14">
        <v>80.075158579999993</v>
      </c>
      <c r="H67" s="16">
        <v>1.6611179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5.4080717099999998</v>
      </c>
      <c r="F70" s="16">
        <v>1.1387503000000001</v>
      </c>
      <c r="G70" s="14">
        <v>94.591928289999998</v>
      </c>
      <c r="H70" s="16">
        <v>1.1387503000000001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2.5500432599999998</v>
      </c>
      <c r="F72" s="16">
        <v>0.55889036000000003</v>
      </c>
      <c r="G72" s="14">
        <v>97.449956740000005</v>
      </c>
      <c r="H72" s="16">
        <v>0.55889036000000003</v>
      </c>
      <c r="I72" s="14" t="s">
        <v>139</v>
      </c>
      <c r="J72" s="16" t="s">
        <v>139</v>
      </c>
      <c r="K72" s="14">
        <v>0</v>
      </c>
      <c r="L72" s="16">
        <v>0</v>
      </c>
      <c r="M72" s="14">
        <v>0</v>
      </c>
      <c r="N72" s="16">
        <v>0</v>
      </c>
      <c r="O72" s="14">
        <v>0</v>
      </c>
      <c r="P72" s="16">
        <v>0</v>
      </c>
      <c r="Q72" s="14">
        <v>0</v>
      </c>
      <c r="R72" s="16">
        <v>0</v>
      </c>
    </row>
    <row r="73" spans="1:18" x14ac:dyDescent="0.25">
      <c r="A73" s="11" t="s">
        <v>206</v>
      </c>
      <c r="B73" s="13">
        <v>3597</v>
      </c>
      <c r="C73" s="14">
        <f>(2993/B73*100)</f>
        <v>83.208229079788708</v>
      </c>
      <c r="D73" s="15">
        <v>604</v>
      </c>
      <c r="E73" s="14">
        <v>18.380213680000001</v>
      </c>
      <c r="F73" s="16">
        <v>2.1419755</v>
      </c>
      <c r="G73" s="14">
        <v>81.619786320000003</v>
      </c>
      <c r="H73" s="16">
        <v>2.1419755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(2020/B75*100)</f>
        <v>83.956774729842067</v>
      </c>
      <c r="D75" s="15">
        <v>386</v>
      </c>
      <c r="E75" s="14">
        <v>34.15648083</v>
      </c>
      <c r="F75" s="16">
        <v>2.3977869300000001</v>
      </c>
      <c r="G75" s="14">
        <v>65.843519169999993</v>
      </c>
      <c r="H75" s="16">
        <v>2.3977869300000001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(5873/B76*100)</f>
        <v>83.281338627339764</v>
      </c>
      <c r="D76" s="15">
        <v>1179</v>
      </c>
      <c r="E76" s="14">
        <v>18.576810429999998</v>
      </c>
      <c r="F76" s="16">
        <v>1.39596298</v>
      </c>
      <c r="G76" s="14">
        <v>81.423189570000005</v>
      </c>
      <c r="H76" s="16">
        <v>1.39596298</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(2401/B77*100)</f>
        <v>82.565337001375511</v>
      </c>
      <c r="D77" s="15">
        <v>507</v>
      </c>
      <c r="E77" s="14">
        <v>8.2922249299999997</v>
      </c>
      <c r="F77" s="16">
        <v>1.1573445499999999</v>
      </c>
      <c r="G77" s="14">
        <v>91.707775069999997</v>
      </c>
      <c r="H77" s="16">
        <v>1.1573445499999999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(3438/B81*100)</f>
        <v>82.58467451357194</v>
      </c>
      <c r="D81" s="15">
        <v>725</v>
      </c>
      <c r="E81" s="14">
        <v>13.55319495</v>
      </c>
      <c r="F81" s="16">
        <v>1.72115621</v>
      </c>
      <c r="G81" s="14">
        <v>86.446805049999995</v>
      </c>
      <c r="H81" s="16">
        <v>1.72115621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42.147060699999997</v>
      </c>
      <c r="F7" s="16">
        <v>1.7064135</v>
      </c>
      <c r="G7" s="14">
        <v>57.852939300000003</v>
      </c>
      <c r="H7" s="16">
        <v>1.7064135</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45.836311100000003</v>
      </c>
      <c r="F8" s="16">
        <v>2.2745300300000002</v>
      </c>
      <c r="G8" s="14">
        <v>54.163688899999997</v>
      </c>
      <c r="H8" s="16">
        <v>2.2745300300000002</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43.100131820000001</v>
      </c>
      <c r="F9" s="16">
        <v>2.1971582600000001</v>
      </c>
      <c r="G9" s="14">
        <v>56.899868179999999</v>
      </c>
      <c r="H9" s="16">
        <v>2.1971582600000001</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44.502002670000003</v>
      </c>
      <c r="F10" s="16">
        <v>1.5809219699999999</v>
      </c>
      <c r="G10" s="14">
        <v>55.497997329999997</v>
      </c>
      <c r="H10" s="16">
        <v>1.5809219699999999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50.020725810000002</v>
      </c>
      <c r="F11" s="16">
        <v>2.33977389</v>
      </c>
      <c r="G11" s="14">
        <v>49.979274189999998</v>
      </c>
      <c r="H11" s="16">
        <v>2.33977389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39.005457219999997</v>
      </c>
      <c r="F12" s="16">
        <v>2.6525858100000002</v>
      </c>
      <c r="G12" s="14">
        <v>60.994542780000003</v>
      </c>
      <c r="H12" s="16">
        <v>2.6525858100000002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36.668448439999999</v>
      </c>
      <c r="F13" s="16">
        <v>3.0191117900000002</v>
      </c>
      <c r="G13" s="14">
        <v>63.331551560000001</v>
      </c>
      <c r="H13" s="16">
        <v>3.0191117900000002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33.506895360000001</v>
      </c>
      <c r="F14" s="16">
        <v>2.4151869499999998</v>
      </c>
      <c r="G14" s="14">
        <v>66.493104639999999</v>
      </c>
      <c r="H14" s="16">
        <v>2.4151869499999998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32.917441850000003</v>
      </c>
      <c r="F15" s="16">
        <v>2.4792122700000001</v>
      </c>
      <c r="G15" s="14">
        <v>67.082558149999997</v>
      </c>
      <c r="H15" s="16">
        <v>2.4792122700000001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47.198645710000001</v>
      </c>
      <c r="F16" s="16">
        <v>1.7535048200000001</v>
      </c>
      <c r="G16" s="14">
        <v>52.801354289999999</v>
      </c>
      <c r="H16" s="16">
        <v>1.7535048200000001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40.614116260000003</v>
      </c>
      <c r="F17" s="16">
        <v>2.0365761999999998</v>
      </c>
      <c r="G17" s="14">
        <v>59.385883739999997</v>
      </c>
      <c r="H17" s="16">
        <v>2.0365761999999998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55.489323110000001</v>
      </c>
      <c r="F18" s="16">
        <v>2.3010710799999998</v>
      </c>
      <c r="G18" s="14">
        <v>44.510676889999999</v>
      </c>
      <c r="H18" s="16">
        <v>2.3010710799999998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53.650640430000003</v>
      </c>
      <c r="F19" s="16">
        <v>2.08084793</v>
      </c>
      <c r="G19" s="14">
        <v>46.349359569999997</v>
      </c>
      <c r="H19" s="16">
        <v>2.08084793</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57.178649819999997</v>
      </c>
      <c r="F20" s="16">
        <v>2.78731193</v>
      </c>
      <c r="G20" s="14">
        <v>42.821350180000003</v>
      </c>
      <c r="H20" s="16">
        <v>2.78731193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46.83192485</v>
      </c>
      <c r="F22" s="16">
        <v>2.3870575700000001</v>
      </c>
      <c r="G22" s="14">
        <v>53.16807515</v>
      </c>
      <c r="H22" s="16">
        <v>2.3870575700000001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40.800738250000002</v>
      </c>
      <c r="F23" s="16">
        <v>2.5829191100000002</v>
      </c>
      <c r="G23" s="14">
        <v>59.199261749999998</v>
      </c>
      <c r="H23" s="16">
        <v>2.5829191100000002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30.05436177</v>
      </c>
      <c r="F24" s="16">
        <v>2.1852187600000001</v>
      </c>
      <c r="G24" s="14">
        <v>69.94563823</v>
      </c>
      <c r="H24" s="16">
        <v>2.1852187600000001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50.772304089999999</v>
      </c>
      <c r="F25" s="16">
        <v>2.2681170700000002</v>
      </c>
      <c r="G25" s="14">
        <v>49.227695910000001</v>
      </c>
      <c r="H25" s="16">
        <v>2.2681170700000002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53.051500760000003</v>
      </c>
      <c r="F26" s="16">
        <v>2.1613920900000001</v>
      </c>
      <c r="G26" s="14">
        <v>46.948499239999997</v>
      </c>
      <c r="H26" s="16">
        <v>2.1613920900000001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49.328030949999999</v>
      </c>
      <c r="F27" s="16">
        <v>2.39809414</v>
      </c>
      <c r="G27" s="14">
        <v>50.671969050000001</v>
      </c>
      <c r="H27" s="16">
        <v>2.39809414</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58.835316110000001</v>
      </c>
      <c r="F28" s="16">
        <v>1.9652349200000001</v>
      </c>
      <c r="G28" s="14">
        <v>41.164683889999999</v>
      </c>
      <c r="H28" s="16">
        <v>1.9652349200000001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43.948800200000001</v>
      </c>
      <c r="F29" s="16">
        <v>2.4011347000000001</v>
      </c>
      <c r="G29" s="14">
        <v>56.051199799999999</v>
      </c>
      <c r="H29" s="16">
        <v>2.4011347000000001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41.623959589999998</v>
      </c>
      <c r="F30" s="16">
        <v>2.3649451799999999</v>
      </c>
      <c r="G30" s="14">
        <v>58.376040410000002</v>
      </c>
      <c r="H30" s="16">
        <v>2.3649451799999999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46.793701089999999</v>
      </c>
      <c r="F31" s="16">
        <v>2.2617215900000001</v>
      </c>
      <c r="G31" s="14">
        <v>53.206298910000001</v>
      </c>
      <c r="H31" s="16">
        <v>2.2617215900000001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48.795453719999998</v>
      </c>
      <c r="F33" s="16">
        <v>2.4445163499999998</v>
      </c>
      <c r="G33" s="14">
        <v>51.204546280000002</v>
      </c>
      <c r="H33" s="16">
        <v>2.4445163499999998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49.779875079999997</v>
      </c>
      <c r="F34" s="16">
        <v>2.3573135299999999</v>
      </c>
      <c r="G34" s="14">
        <v>50.220124920000003</v>
      </c>
      <c r="H34" s="16">
        <v>2.3573135299999999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43.356227660000002</v>
      </c>
      <c r="F35" s="16">
        <v>2.5076709799999999</v>
      </c>
      <c r="G35" s="14">
        <v>56.643772339999998</v>
      </c>
      <c r="H35" s="16">
        <v>2.5076709799999999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45.027888660000002</v>
      </c>
      <c r="F36" s="16">
        <v>1.85566071</v>
      </c>
      <c r="G36" s="14">
        <v>54.972111339999998</v>
      </c>
      <c r="H36" s="16">
        <v>1.85566071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53.099946320000001</v>
      </c>
      <c r="F37" s="16">
        <v>2.27313448</v>
      </c>
      <c r="G37" s="14">
        <v>46.900053679999999</v>
      </c>
      <c r="H37" s="16">
        <v>2.27313448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65.570375970000001</v>
      </c>
      <c r="F39" s="16">
        <v>2.6012198600000001</v>
      </c>
      <c r="G39" s="14">
        <v>34.429624029999999</v>
      </c>
      <c r="H39" s="16">
        <v>2.6012198600000001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50.936830980000003</v>
      </c>
      <c r="F40" s="16">
        <v>2.1473133400000002</v>
      </c>
      <c r="G40" s="14">
        <v>49.063169019999997</v>
      </c>
      <c r="H40" s="16">
        <v>2.1473133400000002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44.34481048</v>
      </c>
      <c r="F41" s="16">
        <v>2.3756623000000001</v>
      </c>
      <c r="G41" s="14">
        <v>55.65518952</v>
      </c>
      <c r="H41" s="16">
        <v>2.3756623000000001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46.399621775937497</v>
      </c>
      <c r="F42" s="16">
        <f>IF(COUNT(F7:F41) &gt; 0, SQRT(SUMSQ(F7:F41)/(COUNT(F7:F41)*COUNT(F7:F41)) ), "—")</f>
        <v>0.40761082974438401</v>
      </c>
      <c r="G42" s="14">
        <f>IF(COUNT(G7:G41) &gt; 0, AVERAGE(G7:G41), "—")</f>
        <v>53.600378224062503</v>
      </c>
      <c r="H42" s="16">
        <f>IF(COUNT(H7:H41) &gt; 0, SQRT(SUMSQ(H7:H41)/(COUNT(H7:H41)*COUNT(H7:H41)) ), "—")</f>
        <v>0.40761082974438401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53.91288042</v>
      </c>
      <c r="F46" s="16">
        <v>2.1502413599999999</v>
      </c>
      <c r="G46" s="14">
        <v>46.08711958</v>
      </c>
      <c r="H46" s="16">
        <v>2.1502413599999999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59.719353349999999</v>
      </c>
      <c r="F47" s="16">
        <v>2.2184866400000001</v>
      </c>
      <c r="G47" s="14">
        <v>40.280646650000001</v>
      </c>
      <c r="H47" s="16">
        <v>2.2184866400000001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51.518564929999997</v>
      </c>
      <c r="F48" s="16">
        <v>1.9819621199999999</v>
      </c>
      <c r="G48" s="14">
        <v>48.481435070000003</v>
      </c>
      <c r="H48" s="16">
        <v>1.9819621199999999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52.940844900000002</v>
      </c>
      <c r="F50" s="16">
        <v>2.3054574099999998</v>
      </c>
      <c r="G50" s="14">
        <v>47.059155099999998</v>
      </c>
      <c r="H50" s="16">
        <v>2.3054574099999998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50.080746269999999</v>
      </c>
      <c r="F51" s="16">
        <v>2.3175749200000002</v>
      </c>
      <c r="G51" s="14">
        <v>49.919253730000001</v>
      </c>
      <c r="H51" s="16">
        <v>2.3175749200000002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50.523149779999997</v>
      </c>
      <c r="F52" s="16">
        <v>2.4048476999999999</v>
      </c>
      <c r="G52" s="14">
        <v>49.476850220000003</v>
      </c>
      <c r="H52" s="16">
        <v>2.4048476999999999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56.786289439999997</v>
      </c>
      <c r="F53" s="16">
        <v>2.2223981099999999</v>
      </c>
      <c r="G53" s="14">
        <v>43.213710560000003</v>
      </c>
      <c r="H53" s="16">
        <v>2.2223981099999999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45.70034656</v>
      </c>
      <c r="F56" s="16">
        <v>2.5832741499999998</v>
      </c>
      <c r="G56" s="14">
        <v>54.29965344</v>
      </c>
      <c r="H56" s="16">
        <v>2.5832741499999998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52.17782081</v>
      </c>
      <c r="F61" s="16">
        <v>2.3444666299999999</v>
      </c>
      <c r="G61" s="14">
        <v>47.82217919</v>
      </c>
      <c r="H61" s="16">
        <v>2.3444666299999999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50.108864570000001</v>
      </c>
      <c r="F62" s="16">
        <v>2.2751323800000001</v>
      </c>
      <c r="G62" s="14">
        <v>49.891135429999999</v>
      </c>
      <c r="H62" s="16">
        <v>2.2751323800000001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60.231425399999999</v>
      </c>
      <c r="F66" s="16">
        <v>2.2623999299999999</v>
      </c>
      <c r="G66" s="14">
        <v>39.768574600000001</v>
      </c>
      <c r="H66" s="16">
        <v>2.2623999299999999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50.200002750000003</v>
      </c>
      <c r="F67" s="16">
        <v>2.0622639899999999</v>
      </c>
      <c r="G67" s="14">
        <v>49.799997249999997</v>
      </c>
      <c r="H67" s="16">
        <v>2.0622639899999999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51.962990329999997</v>
      </c>
      <c r="F70" s="16">
        <v>2.6915923300000002</v>
      </c>
      <c r="G70" s="14">
        <v>48.037009670000003</v>
      </c>
      <c r="H70" s="16">
        <v>2.6915923300000002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48.334984349999999</v>
      </c>
      <c r="F72" s="16">
        <v>2.0307294200000001</v>
      </c>
      <c r="G72" s="14">
        <v>51.665015650000001</v>
      </c>
      <c r="H72" s="16">
        <v>2.0307294200000001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68.347940850000001</v>
      </c>
      <c r="F73" s="16">
        <v>2.63527471</v>
      </c>
      <c r="G73" s="14">
        <v>31.652059149999999</v>
      </c>
      <c r="H73" s="16">
        <v>2.63527471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77.775899539999998</v>
      </c>
      <c r="F75" s="16">
        <v>2.5323095599999998</v>
      </c>
      <c r="G75" s="14">
        <v>22.224100459999999</v>
      </c>
      <c r="H75" s="16">
        <v>2.5323095599999998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59.708024559999998</v>
      </c>
      <c r="F76" s="16">
        <v>1.77248432</v>
      </c>
      <c r="G76" s="14">
        <v>40.291975440000002</v>
      </c>
      <c r="H76" s="16">
        <v>1.77248432</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58.718004270000002</v>
      </c>
      <c r="F77" s="16">
        <v>2.3389977000000002</v>
      </c>
      <c r="G77" s="14">
        <v>41.281995729999998</v>
      </c>
      <c r="H77" s="16">
        <v>2.3389977000000002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54.039440650000003</v>
      </c>
      <c r="F81" s="16">
        <v>2.3078797999999998</v>
      </c>
      <c r="G81" s="14">
        <v>45.960559349999997</v>
      </c>
      <c r="H81" s="16">
        <v>2.3078797999999998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358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65.804360040000006</v>
      </c>
      <c r="F7" s="16">
        <v>1.51525128</v>
      </c>
      <c r="G7" s="14">
        <v>34.195639960000001</v>
      </c>
      <c r="H7" s="16">
        <v>1.51525128</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60.909872749999998</v>
      </c>
      <c r="F8" s="16">
        <v>1.9868380699999999</v>
      </c>
      <c r="G8" s="14">
        <v>39.090127250000002</v>
      </c>
      <c r="H8" s="16">
        <v>1.9868380699999999</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67.463553480000002</v>
      </c>
      <c r="F9" s="16">
        <v>1.7733414599999999</v>
      </c>
      <c r="G9" s="14">
        <v>32.536446519999998</v>
      </c>
      <c r="H9" s="16">
        <v>1.7733414599999999</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60.078746860000003</v>
      </c>
      <c r="F10" s="16">
        <v>1.7318657099999999</v>
      </c>
      <c r="G10" s="14">
        <v>39.921253139999997</v>
      </c>
      <c r="H10" s="16">
        <v>1.7318657099999999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65.934229830000007</v>
      </c>
      <c r="F11" s="16">
        <v>2.0388910099999999</v>
      </c>
      <c r="G11" s="14">
        <v>34.06577017</v>
      </c>
      <c r="H11" s="16">
        <v>2.0388910099999999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70.018941319999996</v>
      </c>
      <c r="F12" s="16">
        <v>2.6431443799999998</v>
      </c>
      <c r="G12" s="14">
        <v>29.98105868</v>
      </c>
      <c r="H12" s="16">
        <v>2.6431443799999998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66.160783780000003</v>
      </c>
      <c r="F13" s="16">
        <v>2.2618500799999999</v>
      </c>
      <c r="G13" s="14">
        <v>33.839216219999997</v>
      </c>
      <c r="H13" s="16">
        <v>2.2618500799999999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67.333313149999995</v>
      </c>
      <c r="F14" s="16">
        <v>2.235643</v>
      </c>
      <c r="G14" s="14">
        <v>32.666686849999998</v>
      </c>
      <c r="H14" s="16">
        <v>2.235643</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65.580865489999994</v>
      </c>
      <c r="F15" s="16">
        <v>2.5802155899999999</v>
      </c>
      <c r="G15" s="14">
        <v>34.419134509999999</v>
      </c>
      <c r="H15" s="16">
        <v>2.5802155899999999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70.952210690000001</v>
      </c>
      <c r="F16" s="16">
        <v>2.0284385</v>
      </c>
      <c r="G16" s="14">
        <v>29.047789309999999</v>
      </c>
      <c r="H16" s="16">
        <v>2.0284385</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60.520973830000003</v>
      </c>
      <c r="F17" s="16">
        <v>1.9506989699999999</v>
      </c>
      <c r="G17" s="14">
        <v>39.479026169999997</v>
      </c>
      <c r="H17" s="16">
        <v>1.9506989699999999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74.778355349999998</v>
      </c>
      <c r="F18" s="16">
        <v>1.9607791400000001</v>
      </c>
      <c r="G18" s="14">
        <v>25.221644650000002</v>
      </c>
      <c r="H18" s="16">
        <v>1.9607791400000001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70.683591750000005</v>
      </c>
      <c r="F19" s="16">
        <v>2.3927197200000001</v>
      </c>
      <c r="G19" s="14">
        <v>29.316408249999999</v>
      </c>
      <c r="H19" s="16">
        <v>2.3927197200000001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71.880513759999999</v>
      </c>
      <c r="F20" s="16">
        <v>2.62801376</v>
      </c>
      <c r="G20" s="14">
        <v>28.119486240000001</v>
      </c>
      <c r="H20" s="16">
        <v>2.62801376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70.858989609999995</v>
      </c>
      <c r="F22" s="16">
        <v>2.2085705600000001</v>
      </c>
      <c r="G22" s="14">
        <v>29.141010390000002</v>
      </c>
      <c r="H22" s="16">
        <v>2.2085705600000001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71.360747549999999</v>
      </c>
      <c r="F23" s="16">
        <v>1.72566457</v>
      </c>
      <c r="G23" s="14">
        <v>28.639252450000001</v>
      </c>
      <c r="H23" s="16">
        <v>1.72566457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74.549089280000004</v>
      </c>
      <c r="F24" s="16">
        <v>1.92009981</v>
      </c>
      <c r="G24" s="14">
        <v>25.45091072</v>
      </c>
      <c r="H24" s="16">
        <v>1.92009981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71.837441830000003</v>
      </c>
      <c r="F25" s="16">
        <v>1.9721550800000001</v>
      </c>
      <c r="G25" s="14">
        <v>28.162558170000001</v>
      </c>
      <c r="H25" s="16">
        <v>1.9721550800000001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76.866296050000003</v>
      </c>
      <c r="F26" s="16">
        <v>2.46059319</v>
      </c>
      <c r="G26" s="14">
        <v>23.133703950000001</v>
      </c>
      <c r="H26" s="16">
        <v>2.46059319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69.369159629999999</v>
      </c>
      <c r="F27" s="16">
        <v>2.20004087</v>
      </c>
      <c r="G27" s="14">
        <v>30.630840370000001</v>
      </c>
      <c r="H27" s="16">
        <v>2.20004087</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74.235529619999994</v>
      </c>
      <c r="F28" s="16">
        <v>1.9408296300000001</v>
      </c>
      <c r="G28" s="14">
        <v>25.764470379999999</v>
      </c>
      <c r="H28" s="16">
        <v>1.9408296300000001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73.487415220000003</v>
      </c>
      <c r="F29" s="16">
        <v>2.27554313</v>
      </c>
      <c r="G29" s="14">
        <v>26.512584780000001</v>
      </c>
      <c r="H29" s="16">
        <v>2.27554313</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69.962054019999997</v>
      </c>
      <c r="F30" s="16">
        <v>2.3534643700000002</v>
      </c>
      <c r="G30" s="14">
        <v>30.03794598</v>
      </c>
      <c r="H30" s="16">
        <v>2.3534643700000002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61.4328322</v>
      </c>
      <c r="F31" s="16">
        <v>2.2957108599999998</v>
      </c>
      <c r="G31" s="14">
        <v>38.5671678</v>
      </c>
      <c r="H31" s="16">
        <v>2.2957108599999998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74.274307070000006</v>
      </c>
      <c r="F33" s="16">
        <v>2.0663835000000002</v>
      </c>
      <c r="G33" s="14">
        <v>25.725692930000001</v>
      </c>
      <c r="H33" s="16">
        <v>2.0663835000000002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75.143569279999994</v>
      </c>
      <c r="F34" s="16">
        <v>2.0525099600000001</v>
      </c>
      <c r="G34" s="14">
        <v>24.856430719999999</v>
      </c>
      <c r="H34" s="16">
        <v>2.0525099600000001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76.822771790000004</v>
      </c>
      <c r="F35" s="16">
        <v>2.0540759400000002</v>
      </c>
      <c r="G35" s="14">
        <v>23.177228209999999</v>
      </c>
      <c r="H35" s="16">
        <v>2.0540759400000002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70.382626990000006</v>
      </c>
      <c r="F36" s="16">
        <v>2.16827046</v>
      </c>
      <c r="G36" s="14">
        <v>29.617373010000001</v>
      </c>
      <c r="H36" s="16">
        <v>2.16827046</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61.933724509999998</v>
      </c>
      <c r="F37" s="16">
        <v>2.7483381599999999</v>
      </c>
      <c r="G37" s="14">
        <v>38.066275490000002</v>
      </c>
      <c r="H37" s="16">
        <v>2.7483381599999999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74.450629410000005</v>
      </c>
      <c r="F39" s="16">
        <v>2.17874999</v>
      </c>
      <c r="G39" s="14">
        <v>25.549370589999999</v>
      </c>
      <c r="H39" s="16">
        <v>2.17874999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71.947681919999994</v>
      </c>
      <c r="F40" s="16">
        <v>1.9329237100000001</v>
      </c>
      <c r="G40" s="14">
        <v>28.052318079999999</v>
      </c>
      <c r="H40" s="16">
        <v>1.9329237100000001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61.894345870000002</v>
      </c>
      <c r="F41" s="16">
        <v>2.4167502600000002</v>
      </c>
      <c r="G41" s="14">
        <v>38.105654129999998</v>
      </c>
      <c r="H41" s="16">
        <v>2.4167502600000002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69.340922622812514</v>
      </c>
      <c r="F42" s="16">
        <f>IF(COUNT(F7:F41) &gt; 0, SQRT(SUMSQ(F7:F41)/(COUNT(F7:F41)*COUNT(F7:F41)) ), "—")</f>
        <v>0.38280882263946403</v>
      </c>
      <c r="G42" s="14">
        <f>IF(COUNT(G7:G41) &gt; 0, AVERAGE(G7:G41), "—")</f>
        <v>30.659077377187501</v>
      </c>
      <c r="H42" s="16">
        <f>IF(COUNT(H7:H41) &gt; 0, SQRT(SUMSQ(H7:H41)/(COUNT(H7:H41)*COUNT(H7:H41)) ), "—")</f>
        <v>0.38280882263946403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83.154225690000004</v>
      </c>
      <c r="F46" s="16">
        <v>1.5014239</v>
      </c>
      <c r="G46" s="14">
        <v>16.845774309999999</v>
      </c>
      <c r="H46" s="16">
        <v>1.5014239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66.457239610000002</v>
      </c>
      <c r="F47" s="16">
        <v>2.4912874</v>
      </c>
      <c r="G47" s="14">
        <v>33.542760389999998</v>
      </c>
      <c r="H47" s="16">
        <v>2.4912874</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76.415682570000001</v>
      </c>
      <c r="F48" s="16">
        <v>1.71675132</v>
      </c>
      <c r="G48" s="14">
        <v>23.584317429999999</v>
      </c>
      <c r="H48" s="16">
        <v>1.71675132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65.519343770000006</v>
      </c>
      <c r="F50" s="16">
        <v>2.1507468799999998</v>
      </c>
      <c r="G50" s="14">
        <v>34.480656230000001</v>
      </c>
      <c r="H50" s="16">
        <v>2.1507468799999998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75.236404100000001</v>
      </c>
      <c r="F51" s="16">
        <v>1.99934597</v>
      </c>
      <c r="G51" s="14">
        <v>24.763595899999999</v>
      </c>
      <c r="H51" s="16">
        <v>1.99934597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74.442217999999997</v>
      </c>
      <c r="F52" s="16">
        <v>2.0020617700000001</v>
      </c>
      <c r="G52" s="14">
        <v>25.557782</v>
      </c>
      <c r="H52" s="16">
        <v>2.0020617700000001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77.826159869999998</v>
      </c>
      <c r="F53" s="16">
        <v>2.0675403700000001</v>
      </c>
      <c r="G53" s="14">
        <v>22.173840129999999</v>
      </c>
      <c r="H53" s="16">
        <v>2.0675403700000001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58.280808870000001</v>
      </c>
      <c r="F61" s="16">
        <v>1.96730837</v>
      </c>
      <c r="G61" s="14">
        <v>41.719191129999999</v>
      </c>
      <c r="H61" s="16">
        <v>1.96730837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15.073503150000001</v>
      </c>
      <c r="F62" s="16">
        <v>1.8821797300000001</v>
      </c>
      <c r="G62" s="14">
        <v>4.2250851599999999</v>
      </c>
      <c r="H62" s="16">
        <v>1.0769484899999999</v>
      </c>
      <c r="I62" s="14" t="s">
        <v>139</v>
      </c>
      <c r="J62" s="16" t="s">
        <v>139</v>
      </c>
      <c r="K62" s="14">
        <v>0</v>
      </c>
      <c r="L62" s="16">
        <v>0</v>
      </c>
      <c r="M62" s="14">
        <v>80.701411699999994</v>
      </c>
      <c r="N62" s="16">
        <v>1.96680889</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70.203076609999997</v>
      </c>
      <c r="F66" s="16">
        <v>2.0183607000000001</v>
      </c>
      <c r="G66" s="14">
        <v>29.79692339</v>
      </c>
      <c r="H66" s="16">
        <v>2.0183607000000001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76.679892760000001</v>
      </c>
      <c r="F67" s="16">
        <v>1.79103557</v>
      </c>
      <c r="G67" s="14">
        <v>23.320107239999999</v>
      </c>
      <c r="H67" s="16">
        <v>1.79103557</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73.028068180000005</v>
      </c>
      <c r="F70" s="16">
        <v>2.1501312100000001</v>
      </c>
      <c r="G70" s="14">
        <v>26.971931819999998</v>
      </c>
      <c r="H70" s="16">
        <v>2.1501312100000001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80.57502289</v>
      </c>
      <c r="F72" s="16">
        <v>1.4389669300000001</v>
      </c>
      <c r="G72" s="14">
        <v>19.42497711</v>
      </c>
      <c r="H72" s="16">
        <v>1.4389669300000001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76.279808009999996</v>
      </c>
      <c r="F73" s="16">
        <v>1.96485935</v>
      </c>
      <c r="G73" s="14">
        <v>23.72019199</v>
      </c>
      <c r="H73" s="16">
        <v>1.96485935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71.644832230000006</v>
      </c>
      <c r="F75" s="16">
        <v>2.22544568</v>
      </c>
      <c r="G75" s="14">
        <v>28.355167770000001</v>
      </c>
      <c r="H75" s="16">
        <v>2.22544568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78.808417460000001</v>
      </c>
      <c r="F76" s="16">
        <v>1.4496399099999999</v>
      </c>
      <c r="G76" s="14">
        <v>21.191582539999999</v>
      </c>
      <c r="H76" s="16">
        <v>1.4496399099999999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71.279685119999996</v>
      </c>
      <c r="F77" s="16">
        <v>2.18996207</v>
      </c>
      <c r="G77" s="14">
        <v>28.72031488</v>
      </c>
      <c r="H77" s="16">
        <v>2.18996207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77.16570385</v>
      </c>
      <c r="F81" s="16">
        <v>1.9729464800000001</v>
      </c>
      <c r="G81" s="14">
        <v>22.83429615</v>
      </c>
      <c r="H81" s="16">
        <v>1.9729464800000001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234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39.78410487</v>
      </c>
      <c r="F7" s="16">
        <v>1.73513597</v>
      </c>
      <c r="G7" s="14">
        <v>60.21589513</v>
      </c>
      <c r="H7" s="16">
        <v>1.73513597</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45.550212379999998</v>
      </c>
      <c r="F8" s="16">
        <v>2.40363354</v>
      </c>
      <c r="G8" s="14">
        <v>54.449787620000002</v>
      </c>
      <c r="H8" s="16">
        <v>2.40363354</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42.300761199999997</v>
      </c>
      <c r="F9" s="16">
        <v>2.3268398600000002</v>
      </c>
      <c r="G9" s="14">
        <v>57.699238800000003</v>
      </c>
      <c r="H9" s="16">
        <v>2.3268398600000002</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38.280167919999997</v>
      </c>
      <c r="F10" s="16">
        <v>1.8020482499999999</v>
      </c>
      <c r="G10" s="14">
        <v>61.719832080000003</v>
      </c>
      <c r="H10" s="16">
        <v>1.8020482499999999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51.028172560000002</v>
      </c>
      <c r="F11" s="16">
        <v>2.55895355</v>
      </c>
      <c r="G11" s="14">
        <v>48.971827439999998</v>
      </c>
      <c r="H11" s="16">
        <v>2.55895355</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48.073953299999999</v>
      </c>
      <c r="F12" s="16">
        <v>2.88429855</v>
      </c>
      <c r="G12" s="14">
        <v>51.926046700000001</v>
      </c>
      <c r="H12" s="16">
        <v>2.88429855</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43.65367938</v>
      </c>
      <c r="F13" s="16">
        <v>2.8579695599999999</v>
      </c>
      <c r="G13" s="14">
        <v>56.34632062</v>
      </c>
      <c r="H13" s="16">
        <v>2.8579695599999999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33.950300599999998</v>
      </c>
      <c r="F14" s="16">
        <v>2.1594312000000002</v>
      </c>
      <c r="G14" s="14">
        <v>66.049699399999994</v>
      </c>
      <c r="H14" s="16">
        <v>2.1594312000000002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41.211575590000002</v>
      </c>
      <c r="F15" s="16">
        <v>2.1383853099999999</v>
      </c>
      <c r="G15" s="14">
        <v>58.788424409999998</v>
      </c>
      <c r="H15" s="16">
        <v>2.1383853099999999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41.82285864</v>
      </c>
      <c r="F16" s="16">
        <v>1.95342152</v>
      </c>
      <c r="G16" s="14">
        <v>58.17714136</v>
      </c>
      <c r="H16" s="16">
        <v>1.95342152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47.228021839999997</v>
      </c>
      <c r="F17" s="16">
        <v>2.3042782900000001</v>
      </c>
      <c r="G17" s="14">
        <v>52.771978160000003</v>
      </c>
      <c r="H17" s="16">
        <v>2.3042782900000001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59.037748379999996</v>
      </c>
      <c r="F18" s="16">
        <v>2.9005061699999999</v>
      </c>
      <c r="G18" s="14">
        <v>40.962251620000004</v>
      </c>
      <c r="H18" s="16">
        <v>2.9005061699999999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52.545572370000002</v>
      </c>
      <c r="F19" s="16">
        <v>2.2418339500000002</v>
      </c>
      <c r="G19" s="14">
        <v>47.454427629999998</v>
      </c>
      <c r="H19" s="16">
        <v>2.2418339500000002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48.042336859999999</v>
      </c>
      <c r="F20" s="16">
        <v>2.78424285</v>
      </c>
      <c r="G20" s="14">
        <v>51.957663140000001</v>
      </c>
      <c r="H20" s="16">
        <v>2.78424285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56.797614060000001</v>
      </c>
      <c r="F22" s="16">
        <v>2.46328887</v>
      </c>
      <c r="G22" s="14">
        <v>43.202385939999999</v>
      </c>
      <c r="H22" s="16">
        <v>2.46328887</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50.059311209999997</v>
      </c>
      <c r="F23" s="16">
        <v>1.9672759500000001</v>
      </c>
      <c r="G23" s="14">
        <v>49.940688790000003</v>
      </c>
      <c r="H23" s="16">
        <v>1.9672759500000001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41.773620260000001</v>
      </c>
      <c r="F24" s="16">
        <v>1.6665325600000001</v>
      </c>
      <c r="G24" s="14">
        <v>58.226379739999999</v>
      </c>
      <c r="H24" s="16">
        <v>1.6665325600000001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35.47189083</v>
      </c>
      <c r="F25" s="16">
        <v>2.1933864500000002</v>
      </c>
      <c r="G25" s="14">
        <v>64.528109169999993</v>
      </c>
      <c r="H25" s="16">
        <v>2.1933864500000002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53.245076310000002</v>
      </c>
      <c r="F26" s="16">
        <v>2.1932835700000002</v>
      </c>
      <c r="G26" s="14">
        <v>46.754923689999998</v>
      </c>
      <c r="H26" s="16">
        <v>2.1932835700000002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47.772674459999998</v>
      </c>
      <c r="F27" s="16">
        <v>2.4244913600000002</v>
      </c>
      <c r="G27" s="14">
        <v>52.227325540000002</v>
      </c>
      <c r="H27" s="16">
        <v>2.4244913600000002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60.20076005</v>
      </c>
      <c r="F28" s="16">
        <v>2.3741526999999998</v>
      </c>
      <c r="G28" s="14">
        <v>39.79923995</v>
      </c>
      <c r="H28" s="16">
        <v>2.3741526999999998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44.391320700000001</v>
      </c>
      <c r="F29" s="16">
        <v>2.4609578499999998</v>
      </c>
      <c r="G29" s="14">
        <v>55.608679299999999</v>
      </c>
      <c r="H29" s="16">
        <v>2.4609578499999998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39.604007699999997</v>
      </c>
      <c r="F30" s="16">
        <v>2.6569621099999998</v>
      </c>
      <c r="G30" s="14">
        <v>60.395992300000003</v>
      </c>
      <c r="H30" s="16">
        <v>2.6569621099999998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51.082165510000003</v>
      </c>
      <c r="F31" s="16">
        <v>2.2182232599999998</v>
      </c>
      <c r="G31" s="14">
        <v>48.917834489999997</v>
      </c>
      <c r="H31" s="16">
        <v>2.2182232599999998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48.260137210000003</v>
      </c>
      <c r="F33" s="16">
        <v>2.22890728</v>
      </c>
      <c r="G33" s="14">
        <v>51.739862789999997</v>
      </c>
      <c r="H33" s="16">
        <v>2.22890728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54.775342610000003</v>
      </c>
      <c r="F34" s="16">
        <v>2.0040111600000001</v>
      </c>
      <c r="G34" s="14">
        <v>45.224657389999997</v>
      </c>
      <c r="H34" s="16">
        <v>2.0040111600000001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52.08632162</v>
      </c>
      <c r="F35" s="16">
        <v>2.6666898200000002</v>
      </c>
      <c r="G35" s="14">
        <v>47.91367838</v>
      </c>
      <c r="H35" s="16">
        <v>2.6666898200000002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48.480395659999999</v>
      </c>
      <c r="F36" s="16">
        <v>2.2839846499999998</v>
      </c>
      <c r="G36" s="14">
        <v>51.519604340000001</v>
      </c>
      <c r="H36" s="16">
        <v>2.2839846499999998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54.464383900000001</v>
      </c>
      <c r="F37" s="16">
        <v>2.8178826899999998</v>
      </c>
      <c r="G37" s="14">
        <v>45.535616099999999</v>
      </c>
      <c r="H37" s="16">
        <v>2.8178826899999998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67.793934250000007</v>
      </c>
      <c r="F39" s="16">
        <v>2.7110909599999999</v>
      </c>
      <c r="G39" s="14">
        <v>32.20606575</v>
      </c>
      <c r="H39" s="16">
        <v>2.7110909599999999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45.028052729999999</v>
      </c>
      <c r="F40" s="16">
        <v>2.4012301800000002</v>
      </c>
      <c r="G40" s="14">
        <v>54.971947270000001</v>
      </c>
      <c r="H40" s="16">
        <v>2.4012301800000002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38.143524909999996</v>
      </c>
      <c r="F41" s="16">
        <v>2.6704200199999999</v>
      </c>
      <c r="G41" s="14">
        <v>61.856475090000004</v>
      </c>
      <c r="H41" s="16">
        <v>2.6704200199999999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47.560624995937495</v>
      </c>
      <c r="F42" s="16">
        <f>IF(COUNT(F7:F41) &gt; 0, SQRT(SUMSQ(F7:F41)/(COUNT(F7:F41)*COUNT(F7:F41)) ), "—")</f>
        <v>0.42091845441846659</v>
      </c>
      <c r="G42" s="14">
        <f>IF(COUNT(G7:G41) &gt; 0, AVERAGE(G7:G41), "—")</f>
        <v>52.439375004062491</v>
      </c>
      <c r="H42" s="16">
        <f>IF(COUNT(H7:H41) &gt; 0, SQRT(SUMSQ(H7:H41)/(COUNT(H7:H41)*COUNT(H7:H41)) ), "—")</f>
        <v>0.42091845441846659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60.784849370000003</v>
      </c>
      <c r="F46" s="16">
        <v>1.66519635</v>
      </c>
      <c r="G46" s="14">
        <v>39.215150629999997</v>
      </c>
      <c r="H46" s="16">
        <v>1.66519635</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61.286297699999999</v>
      </c>
      <c r="F47" s="16">
        <v>2.0416827099999999</v>
      </c>
      <c r="G47" s="14">
        <v>38.713702300000001</v>
      </c>
      <c r="H47" s="16">
        <v>2.0416827099999999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45.854123479999998</v>
      </c>
      <c r="F48" s="16">
        <v>1.9481548399999999</v>
      </c>
      <c r="G48" s="14">
        <v>54.145876520000002</v>
      </c>
      <c r="H48" s="16">
        <v>1.9481548399999999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58.336370250000002</v>
      </c>
      <c r="F50" s="16">
        <v>2.2587824200000002</v>
      </c>
      <c r="G50" s="14">
        <v>41.663629749999998</v>
      </c>
      <c r="H50" s="16">
        <v>2.2587824200000002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48.856717449999998</v>
      </c>
      <c r="F51" s="16">
        <v>2.3658501799999998</v>
      </c>
      <c r="G51" s="14">
        <v>51.143282550000002</v>
      </c>
      <c r="H51" s="16">
        <v>2.3658501799999998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50.395555629999997</v>
      </c>
      <c r="F52" s="16">
        <v>2.6129464200000001</v>
      </c>
      <c r="G52" s="14">
        <v>49.604444370000003</v>
      </c>
      <c r="H52" s="16">
        <v>2.6129464200000001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57.779121719999999</v>
      </c>
      <c r="F53" s="16">
        <v>2.4774353200000001</v>
      </c>
      <c r="G53" s="14">
        <v>42.220878280000001</v>
      </c>
      <c r="H53" s="16">
        <v>2.4774353200000001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34.46346887</v>
      </c>
      <c r="F56" s="16">
        <v>2.5045858299999999</v>
      </c>
      <c r="G56" s="14">
        <v>65.53653113</v>
      </c>
      <c r="H56" s="16">
        <v>2.5045858299999999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51.285658329999997</v>
      </c>
      <c r="F61" s="16">
        <v>2.8145856500000002</v>
      </c>
      <c r="G61" s="14">
        <v>48.714341670000003</v>
      </c>
      <c r="H61" s="16">
        <v>2.8145856500000002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32.787788399999997</v>
      </c>
      <c r="F62" s="16">
        <v>2.65403316</v>
      </c>
      <c r="G62" s="14">
        <v>67.212211600000003</v>
      </c>
      <c r="H62" s="16">
        <v>2.65403316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68.131561980000001</v>
      </c>
      <c r="F66" s="16">
        <v>2.28480683</v>
      </c>
      <c r="G66" s="14">
        <v>31.868438019999999</v>
      </c>
      <c r="H66" s="16">
        <v>2.28480683</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54.521085919999997</v>
      </c>
      <c r="F67" s="16">
        <v>2.7132838100000001</v>
      </c>
      <c r="G67" s="14">
        <v>45.478914080000003</v>
      </c>
      <c r="H67" s="16">
        <v>2.7132838100000001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57.02854516</v>
      </c>
      <c r="F70" s="16">
        <v>2.3714301099999999</v>
      </c>
      <c r="G70" s="14">
        <v>42.97145484</v>
      </c>
      <c r="H70" s="16">
        <v>2.3714301099999999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40.974331550000002</v>
      </c>
      <c r="F72" s="16">
        <v>1.6756586</v>
      </c>
      <c r="G72" s="14">
        <v>59.025668449999998</v>
      </c>
      <c r="H72" s="16">
        <v>1.6756586</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65.754927089999995</v>
      </c>
      <c r="F73" s="16">
        <v>2.0434312000000001</v>
      </c>
      <c r="G73" s="14">
        <v>34.245072909999998</v>
      </c>
      <c r="H73" s="16">
        <v>2.0434312000000001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67.217067159999999</v>
      </c>
      <c r="F75" s="16">
        <v>2.7675949900000001</v>
      </c>
      <c r="G75" s="14">
        <v>32.782932840000001</v>
      </c>
      <c r="H75" s="16">
        <v>2.7675949900000001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56.186403769999998</v>
      </c>
      <c r="F76" s="16">
        <v>1.96679271</v>
      </c>
      <c r="G76" s="14">
        <v>43.813596230000002</v>
      </c>
      <c r="H76" s="16">
        <v>1.96679271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59.030601660000002</v>
      </c>
      <c r="F77" s="16">
        <v>2.43828106</v>
      </c>
      <c r="G77" s="14">
        <v>40.969398339999998</v>
      </c>
      <c r="H77" s="16">
        <v>2.43828106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55.160880460000001</v>
      </c>
      <c r="F81" s="16">
        <v>2.1033674699999998</v>
      </c>
      <c r="G81" s="14">
        <v>44.839119539999999</v>
      </c>
      <c r="H81" s="16">
        <v>2.1033674699999998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235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27.507705210000001</v>
      </c>
      <c r="F7" s="16">
        <v>1.4129218800000001</v>
      </c>
      <c r="G7" s="14">
        <v>72.492294790000003</v>
      </c>
      <c r="H7" s="16">
        <v>1.4129218800000001</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46.387196520000003</v>
      </c>
      <c r="F8" s="16">
        <v>2.1117892500000002</v>
      </c>
      <c r="G8" s="14">
        <v>53.612803479999997</v>
      </c>
      <c r="H8" s="16">
        <v>2.1117892500000002</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39.836684679999998</v>
      </c>
      <c r="F9" s="16">
        <v>1.9285436899999999</v>
      </c>
      <c r="G9" s="14">
        <v>60.163315320000002</v>
      </c>
      <c r="H9" s="16">
        <v>1.9285436899999999</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34.064798920000001</v>
      </c>
      <c r="F10" s="16">
        <v>1.52351546</v>
      </c>
      <c r="G10" s="14">
        <v>65.935201079999999</v>
      </c>
      <c r="H10" s="16">
        <v>1.52351546</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47.823504610000001</v>
      </c>
      <c r="F11" s="16">
        <v>2.8358231800000002</v>
      </c>
      <c r="G11" s="14">
        <v>52.176495389999999</v>
      </c>
      <c r="H11" s="16">
        <v>2.8358231800000002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44.611629209999997</v>
      </c>
      <c r="F12" s="16">
        <v>2.4155957799999999</v>
      </c>
      <c r="G12" s="14">
        <v>55.388370790000003</v>
      </c>
      <c r="H12" s="16">
        <v>2.4155957799999999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37.343214269999997</v>
      </c>
      <c r="F13" s="16">
        <v>2.2243112799999998</v>
      </c>
      <c r="G13" s="14">
        <v>62.656785730000003</v>
      </c>
      <c r="H13" s="16">
        <v>2.2243112799999998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34.074437430000003</v>
      </c>
      <c r="F14" s="16">
        <v>2.4947591600000001</v>
      </c>
      <c r="G14" s="14">
        <v>65.925562569999997</v>
      </c>
      <c r="H14" s="16">
        <v>2.4947591600000001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36.157038470000003</v>
      </c>
      <c r="F15" s="16">
        <v>2.2946286900000001</v>
      </c>
      <c r="G15" s="14">
        <v>63.842961529999997</v>
      </c>
      <c r="H15" s="16">
        <v>2.2946286900000001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47.312541510000003</v>
      </c>
      <c r="F16" s="16">
        <v>2.30368482</v>
      </c>
      <c r="G16" s="14">
        <v>52.687458489999997</v>
      </c>
      <c r="H16" s="16">
        <v>2.30368482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42.298621050000001</v>
      </c>
      <c r="F17" s="16">
        <v>2.6212909799999999</v>
      </c>
      <c r="G17" s="14">
        <v>57.701378949999999</v>
      </c>
      <c r="H17" s="16">
        <v>2.6212909799999999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42.412650599999999</v>
      </c>
      <c r="F18" s="16">
        <v>2.5011583100000001</v>
      </c>
      <c r="G18" s="14">
        <v>57.587349400000001</v>
      </c>
      <c r="H18" s="16">
        <v>2.5011583100000001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49.414756150000002</v>
      </c>
      <c r="F19" s="16">
        <v>2.4881672899999998</v>
      </c>
      <c r="G19" s="14">
        <v>50.585243849999998</v>
      </c>
      <c r="H19" s="16">
        <v>2.4881672899999998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46.545983730000003</v>
      </c>
      <c r="F20" s="16">
        <v>3.0016311400000002</v>
      </c>
      <c r="G20" s="14">
        <v>53.454016269999997</v>
      </c>
      <c r="H20" s="16">
        <v>3.0016311400000002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59.593370450000002</v>
      </c>
      <c r="F22" s="16">
        <v>2.1612392699999998</v>
      </c>
      <c r="G22" s="14">
        <v>40.406629549999998</v>
      </c>
      <c r="H22" s="16">
        <v>2.1612392699999998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44.755129279999998</v>
      </c>
      <c r="F23" s="16">
        <v>1.9241678200000001</v>
      </c>
      <c r="G23" s="14">
        <v>55.244870720000002</v>
      </c>
      <c r="H23" s="16">
        <v>1.9241678200000001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32.790905879999997</v>
      </c>
      <c r="F24" s="16">
        <v>2.0050060099999998</v>
      </c>
      <c r="G24" s="14">
        <v>67.209094120000003</v>
      </c>
      <c r="H24" s="16">
        <v>2.0050060099999998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37.530323160000002</v>
      </c>
      <c r="F25" s="16">
        <v>2.0335935699999999</v>
      </c>
      <c r="G25" s="14">
        <v>62.469676839999998</v>
      </c>
      <c r="H25" s="16">
        <v>2.0335935699999999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35.31016185</v>
      </c>
      <c r="F26" s="16">
        <v>2.07268119</v>
      </c>
      <c r="G26" s="14">
        <v>64.68983815</v>
      </c>
      <c r="H26" s="16">
        <v>2.07268119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45.290041940000002</v>
      </c>
      <c r="F27" s="16">
        <v>2.2305780899999998</v>
      </c>
      <c r="G27" s="14">
        <v>54.709958059999998</v>
      </c>
      <c r="H27" s="16">
        <v>2.2305780899999998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52.61621641</v>
      </c>
      <c r="F28" s="16">
        <v>1.9015090400000001</v>
      </c>
      <c r="G28" s="14">
        <v>47.38378359</v>
      </c>
      <c r="H28" s="16">
        <v>1.9015090400000001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41.744884290000002</v>
      </c>
      <c r="F29" s="16">
        <v>2.44595129</v>
      </c>
      <c r="G29" s="14">
        <v>58.255115709999998</v>
      </c>
      <c r="H29" s="16">
        <v>2.44595129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29.937904750000001</v>
      </c>
      <c r="F30" s="16">
        <v>2.5373307999999999</v>
      </c>
      <c r="G30" s="14">
        <v>70.062095249999999</v>
      </c>
      <c r="H30" s="16">
        <v>2.5373307999999999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39.544659850000002</v>
      </c>
      <c r="F31" s="16">
        <v>2.8631334100000001</v>
      </c>
      <c r="G31" s="14">
        <v>60.455340149999998</v>
      </c>
      <c r="H31" s="16">
        <v>2.8631334100000001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49.6907578</v>
      </c>
      <c r="F33" s="16">
        <v>2.3973782699999999</v>
      </c>
      <c r="G33" s="14">
        <v>50.3092422</v>
      </c>
      <c r="H33" s="16">
        <v>2.3973782699999999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46.728941020000001</v>
      </c>
      <c r="F34" s="16">
        <v>2.3578696400000001</v>
      </c>
      <c r="G34" s="14">
        <v>53.271058979999999</v>
      </c>
      <c r="H34" s="16">
        <v>2.3578696400000001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30.984399620000001</v>
      </c>
      <c r="F35" s="16">
        <v>2.6488980999999998</v>
      </c>
      <c r="G35" s="14">
        <v>69.015600379999995</v>
      </c>
      <c r="H35" s="16">
        <v>2.6488980999999998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40.806486409999998</v>
      </c>
      <c r="F36" s="16">
        <v>2.1507964899999998</v>
      </c>
      <c r="G36" s="14">
        <v>59.193513590000002</v>
      </c>
      <c r="H36" s="16">
        <v>2.1507964899999998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47.272386599999997</v>
      </c>
      <c r="F37" s="16">
        <v>2.6543063899999999</v>
      </c>
      <c r="G37" s="14">
        <v>52.727613400000003</v>
      </c>
      <c r="H37" s="16">
        <v>2.6543063899999999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64.021601309999994</v>
      </c>
      <c r="F39" s="16">
        <v>2.14089822</v>
      </c>
      <c r="G39" s="14">
        <v>35.978398689999999</v>
      </c>
      <c r="H39" s="16">
        <v>2.14089822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35.133636510000002</v>
      </c>
      <c r="F40" s="16">
        <v>1.9535775900000001</v>
      </c>
      <c r="G40" s="14">
        <v>64.866363489999998</v>
      </c>
      <c r="H40" s="16">
        <v>1.9535775900000001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32.562535560000001</v>
      </c>
      <c r="F41" s="16">
        <v>2.6270401900000002</v>
      </c>
      <c r="G41" s="14">
        <v>67.437464439999999</v>
      </c>
      <c r="H41" s="16">
        <v>2.6270401900000002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41.940784532812501</v>
      </c>
      <c r="F42" s="16">
        <f>IF(COUNT(F7:F41) &gt; 0, SQRT(SUMSQ(F7:F41)/(COUNT(F7:F41)*COUNT(F7:F41)) ), "—")</f>
        <v>0.40957215359403143</v>
      </c>
      <c r="G42" s="14">
        <f>IF(COUNT(G7:G41) &gt; 0, AVERAGE(G7:G41), "—")</f>
        <v>58.059215467187499</v>
      </c>
      <c r="H42" s="16">
        <f>IF(COUNT(H7:H41) &gt; 0, SQRT(SUMSQ(H7:H41)/(COUNT(H7:H41)*COUNT(H7:H41)) ), "—")</f>
        <v>0.40957215359403143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53.584336880000002</v>
      </c>
      <c r="F46" s="16">
        <v>1.5190506500000001</v>
      </c>
      <c r="G46" s="14">
        <v>46.415663119999998</v>
      </c>
      <c r="H46" s="16">
        <v>1.5190506500000001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42.488031739999997</v>
      </c>
      <c r="F47" s="16">
        <v>2.1778803400000002</v>
      </c>
      <c r="G47" s="14">
        <v>57.511968260000003</v>
      </c>
      <c r="H47" s="16">
        <v>2.1778803400000002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30.13180526</v>
      </c>
      <c r="F48" s="16">
        <v>1.9128169699999999</v>
      </c>
      <c r="G48" s="14">
        <v>69.868194740000007</v>
      </c>
      <c r="H48" s="16">
        <v>1.9128169699999999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49.986980080000002</v>
      </c>
      <c r="F50" s="16">
        <v>1.9553056200000001</v>
      </c>
      <c r="G50" s="14">
        <v>50.013019919999998</v>
      </c>
      <c r="H50" s="16">
        <v>1.9553056200000001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49.457477670000003</v>
      </c>
      <c r="F51" s="16">
        <v>2.46447985</v>
      </c>
      <c r="G51" s="14">
        <v>50.542522329999997</v>
      </c>
      <c r="H51" s="16">
        <v>2.46447985</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42.520784259999999</v>
      </c>
      <c r="F52" s="16">
        <v>2.26033741</v>
      </c>
      <c r="G52" s="14">
        <v>57.479215740000001</v>
      </c>
      <c r="H52" s="16">
        <v>2.26033741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45.988403769999998</v>
      </c>
      <c r="F53" s="16">
        <v>2.3359999600000001</v>
      </c>
      <c r="G53" s="14">
        <v>54.011596230000002</v>
      </c>
      <c r="H53" s="16">
        <v>2.3359999600000001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18.854343719999999</v>
      </c>
      <c r="F56" s="16">
        <v>2.0777664300000001</v>
      </c>
      <c r="G56" s="14">
        <v>81.145656279999997</v>
      </c>
      <c r="H56" s="16">
        <v>2.0777664300000001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33.020156929999999</v>
      </c>
      <c r="F61" s="16">
        <v>2.0979615300000001</v>
      </c>
      <c r="G61" s="14">
        <v>66.979843070000001</v>
      </c>
      <c r="H61" s="16">
        <v>2.0979615300000001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16.35356792</v>
      </c>
      <c r="F62" s="16">
        <v>1.81569135</v>
      </c>
      <c r="G62" s="14">
        <v>83.646432079999997</v>
      </c>
      <c r="H62" s="16">
        <v>1.81569135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52.000771620000002</v>
      </c>
      <c r="F66" s="16">
        <v>2.38154749</v>
      </c>
      <c r="G66" s="14">
        <v>47.999228379999998</v>
      </c>
      <c r="H66" s="16">
        <v>2.38154749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44.184751519999999</v>
      </c>
      <c r="F67" s="16">
        <v>2.6852433499999999</v>
      </c>
      <c r="G67" s="14">
        <v>55.815248480000001</v>
      </c>
      <c r="H67" s="16">
        <v>2.6852433499999999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35.340018229999998</v>
      </c>
      <c r="F70" s="16">
        <v>2.8236499300000002</v>
      </c>
      <c r="G70" s="14">
        <v>64.659981770000002</v>
      </c>
      <c r="H70" s="16">
        <v>2.8236499300000002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38.17221893</v>
      </c>
      <c r="F72" s="16">
        <v>2.0228562600000002</v>
      </c>
      <c r="G72" s="14">
        <v>61.82778107</v>
      </c>
      <c r="H72" s="16">
        <v>2.0228562600000002</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48.863472389999998</v>
      </c>
      <c r="F73" s="16">
        <v>2.3303572799999999</v>
      </c>
      <c r="G73" s="14">
        <v>51.136527610000002</v>
      </c>
      <c r="H73" s="16">
        <v>2.3303572799999999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48.843611610000004</v>
      </c>
      <c r="F75" s="16">
        <v>2.9501178299999999</v>
      </c>
      <c r="G75" s="14">
        <v>51.156388389999996</v>
      </c>
      <c r="H75" s="16">
        <v>2.9501178299999999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41.660357040000001</v>
      </c>
      <c r="F76" s="16">
        <v>1.6005299099999999</v>
      </c>
      <c r="G76" s="14">
        <v>58.339642959999999</v>
      </c>
      <c r="H76" s="16">
        <v>1.6005299099999999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52.258423020000002</v>
      </c>
      <c r="F77" s="16">
        <v>2.4966720800000002</v>
      </c>
      <c r="G77" s="14">
        <v>47.741576979999998</v>
      </c>
      <c r="H77" s="16">
        <v>2.4966720800000002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6.4691288499999997</v>
      </c>
      <c r="F81" s="16">
        <v>1.2238124800000001</v>
      </c>
      <c r="G81" s="14">
        <v>13.05508143</v>
      </c>
      <c r="H81" s="16">
        <v>1.8547182099999999</v>
      </c>
      <c r="I81" s="14" t="s">
        <v>139</v>
      </c>
      <c r="J81" s="16" t="s">
        <v>139</v>
      </c>
      <c r="K81" s="14">
        <v>0</v>
      </c>
      <c r="L81" s="16">
        <v>0</v>
      </c>
      <c r="M81" s="14">
        <v>80.475789719999995</v>
      </c>
      <c r="N81" s="16">
        <v>2.6181972600000001</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236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37.168205829999998</v>
      </c>
      <c r="F7" s="16">
        <v>1.66630626</v>
      </c>
      <c r="G7" s="14">
        <v>62.831794170000002</v>
      </c>
      <c r="H7" s="16">
        <v>1.66630626</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41.614153510000001</v>
      </c>
      <c r="F8" s="16">
        <v>1.91792589</v>
      </c>
      <c r="G8" s="14">
        <v>58.385846489999999</v>
      </c>
      <c r="H8" s="16">
        <v>1.91792589</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51.09843978</v>
      </c>
      <c r="F9" s="16">
        <v>1.73484456</v>
      </c>
      <c r="G9" s="14">
        <v>48.90156022</v>
      </c>
      <c r="H9" s="16">
        <v>1.73484456</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34.614982900000001</v>
      </c>
      <c r="F10" s="16">
        <v>1.5685471900000001</v>
      </c>
      <c r="G10" s="14">
        <v>65.385017099999999</v>
      </c>
      <c r="H10" s="16">
        <v>1.5685471900000001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41.842217730000002</v>
      </c>
      <c r="F11" s="16">
        <v>2.2681135800000001</v>
      </c>
      <c r="G11" s="14">
        <v>58.157782269999998</v>
      </c>
      <c r="H11" s="16">
        <v>2.2681135800000001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55.792335389999998</v>
      </c>
      <c r="F12" s="16">
        <v>2.28751433</v>
      </c>
      <c r="G12" s="14">
        <v>44.207664610000002</v>
      </c>
      <c r="H12" s="16">
        <v>2.28751433</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39.414507620000002</v>
      </c>
      <c r="F13" s="16">
        <v>2.50086605</v>
      </c>
      <c r="G13" s="14">
        <v>60.585492379999998</v>
      </c>
      <c r="H13" s="16">
        <v>2.50086605</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32.266210800000003</v>
      </c>
      <c r="F14" s="16">
        <v>2.3092560799999999</v>
      </c>
      <c r="G14" s="14">
        <v>67.733789200000004</v>
      </c>
      <c r="H14" s="16">
        <v>2.3092560799999999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43.412313879999999</v>
      </c>
      <c r="F15" s="16">
        <v>2.29387579</v>
      </c>
      <c r="G15" s="14">
        <v>56.587686120000001</v>
      </c>
      <c r="H15" s="16">
        <v>2.29387579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45.744391880000002</v>
      </c>
      <c r="F16" s="16">
        <v>1.85506689</v>
      </c>
      <c r="G16" s="14">
        <v>54.255608119999998</v>
      </c>
      <c r="H16" s="16">
        <v>1.85506689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44.930130939999998</v>
      </c>
      <c r="F17" s="16">
        <v>2.12255942</v>
      </c>
      <c r="G17" s="14">
        <v>55.069869060000002</v>
      </c>
      <c r="H17" s="16">
        <v>2.12255942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51.270874650000003</v>
      </c>
      <c r="F18" s="16">
        <v>2.5727506</v>
      </c>
      <c r="G18" s="14">
        <v>48.729125349999997</v>
      </c>
      <c r="H18" s="16">
        <v>2.5727506</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46.038303200000001</v>
      </c>
      <c r="F19" s="16">
        <v>2.0346440700000001</v>
      </c>
      <c r="G19" s="14">
        <v>53.961696799999999</v>
      </c>
      <c r="H19" s="16">
        <v>2.0346440700000001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47.723134539999997</v>
      </c>
      <c r="F20" s="16">
        <v>3.08584879</v>
      </c>
      <c r="G20" s="14">
        <v>52.276865460000003</v>
      </c>
      <c r="H20" s="16">
        <v>3.08584879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47.703471669999999</v>
      </c>
      <c r="F22" s="16">
        <v>2.2285635500000001</v>
      </c>
      <c r="G22" s="14">
        <v>52.296528330000001</v>
      </c>
      <c r="H22" s="16">
        <v>2.2285635500000001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47.364339739999998</v>
      </c>
      <c r="F23" s="16">
        <v>1.7632658999999999</v>
      </c>
      <c r="G23" s="14">
        <v>52.635660260000002</v>
      </c>
      <c r="H23" s="16">
        <v>1.7632658999999999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52.094124290000003</v>
      </c>
      <c r="F24" s="16">
        <v>2.02848177</v>
      </c>
      <c r="G24" s="14">
        <v>47.905875709999997</v>
      </c>
      <c r="H24" s="16">
        <v>2.02848177</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49.314426169999997</v>
      </c>
      <c r="F25" s="16">
        <v>2.1905669099999998</v>
      </c>
      <c r="G25" s="14">
        <v>50.685573830000003</v>
      </c>
      <c r="H25" s="16">
        <v>2.1905669099999998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50.487205080000003</v>
      </c>
      <c r="F26" s="16">
        <v>2.58683554</v>
      </c>
      <c r="G26" s="14">
        <v>49.512794919999997</v>
      </c>
      <c r="H26" s="16">
        <v>2.58683554</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45.644563390000002</v>
      </c>
      <c r="F27" s="16">
        <v>2.1153252299999998</v>
      </c>
      <c r="G27" s="14">
        <v>54.355436609999998</v>
      </c>
      <c r="H27" s="16">
        <v>2.1153252299999998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49.347208479999999</v>
      </c>
      <c r="F28" s="16">
        <v>2.26989303</v>
      </c>
      <c r="G28" s="14">
        <v>50.652791520000001</v>
      </c>
      <c r="H28" s="16">
        <v>2.26989303</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43.970468259999997</v>
      </c>
      <c r="F29" s="16">
        <v>2.3091286000000002</v>
      </c>
      <c r="G29" s="14">
        <v>56.029531740000003</v>
      </c>
      <c r="H29" s="16">
        <v>2.3091286000000002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38.00474775</v>
      </c>
      <c r="F30" s="16">
        <v>2.52018107</v>
      </c>
      <c r="G30" s="14">
        <v>61.99525225</v>
      </c>
      <c r="H30" s="16">
        <v>2.52018107</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46.89239817</v>
      </c>
      <c r="F31" s="16">
        <v>2.3050919200000002</v>
      </c>
      <c r="G31" s="14">
        <v>53.10760183</v>
      </c>
      <c r="H31" s="16">
        <v>2.3050919200000002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40.932241959999999</v>
      </c>
      <c r="F33" s="16">
        <v>2.2939269900000001</v>
      </c>
      <c r="G33" s="14">
        <v>59.067758040000001</v>
      </c>
      <c r="H33" s="16">
        <v>2.2939269900000001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55.632219380000002</v>
      </c>
      <c r="F34" s="16">
        <v>2.5121441099999999</v>
      </c>
      <c r="G34" s="14">
        <v>44.367780619999998</v>
      </c>
      <c r="H34" s="16">
        <v>2.5121441099999999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42.043707150000003</v>
      </c>
      <c r="F35" s="16">
        <v>2.2303768599999998</v>
      </c>
      <c r="G35" s="14">
        <v>57.956292849999997</v>
      </c>
      <c r="H35" s="16">
        <v>2.2303768599999998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40.649825980000003</v>
      </c>
      <c r="F36" s="16">
        <v>1.66188929</v>
      </c>
      <c r="G36" s="14">
        <v>59.350174019999997</v>
      </c>
      <c r="H36" s="16">
        <v>1.66188929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44.457919369999999</v>
      </c>
      <c r="F37" s="16">
        <v>2.4844901899999998</v>
      </c>
      <c r="G37" s="14">
        <v>55.542080630000001</v>
      </c>
      <c r="H37" s="16">
        <v>2.4844901899999998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55.838557469999998</v>
      </c>
      <c r="F39" s="16">
        <v>3.0780107499999998</v>
      </c>
      <c r="G39" s="14">
        <v>44.161442530000002</v>
      </c>
      <c r="H39" s="16">
        <v>3.0780107499999998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43.02235907</v>
      </c>
      <c r="F40" s="16">
        <v>1.77941426</v>
      </c>
      <c r="G40" s="14">
        <v>56.97764093</v>
      </c>
      <c r="H40" s="16">
        <v>1.77941426</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29.449261509999999</v>
      </c>
      <c r="F41" s="16">
        <v>1.9333259700000001</v>
      </c>
      <c r="G41" s="14">
        <v>70.550738490000001</v>
      </c>
      <c r="H41" s="16">
        <v>1.9333259700000001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44.868101485625004</v>
      </c>
      <c r="F42" s="16">
        <f>IF(COUNT(F7:F41) &gt; 0, SQRT(SUMSQ(F7:F41)/(COUNT(F7:F41)*COUNT(F7:F41)) ), "—")</f>
        <v>0.39472053759779963</v>
      </c>
      <c r="G42" s="14">
        <f>IF(COUNT(G7:G41) &gt; 0, AVERAGE(G7:G41), "—")</f>
        <v>55.131898514374996</v>
      </c>
      <c r="H42" s="16">
        <f>IF(COUNT(H7:H41) &gt; 0, SQRT(SUMSQ(H7:H41)/(COUNT(H7:H41)*COUNT(H7:H41)) ), "—")</f>
        <v>0.39472053759779963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53.959402599999997</v>
      </c>
      <c r="F46" s="16">
        <v>1.94758564</v>
      </c>
      <c r="G46" s="14">
        <v>46.040597400000003</v>
      </c>
      <c r="H46" s="16">
        <v>1.94758564</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50.647589420000003</v>
      </c>
      <c r="F47" s="16">
        <v>2.60281334</v>
      </c>
      <c r="G47" s="14">
        <v>49.352410579999997</v>
      </c>
      <c r="H47" s="16">
        <v>2.60281334</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33.522530209999999</v>
      </c>
      <c r="F48" s="16">
        <v>2.1132351900000002</v>
      </c>
      <c r="G48" s="14">
        <v>66.477469790000001</v>
      </c>
      <c r="H48" s="16">
        <v>2.1132351900000002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44.151455400000003</v>
      </c>
      <c r="F50" s="16">
        <v>2.3145909100000002</v>
      </c>
      <c r="G50" s="14">
        <v>55.848544599999997</v>
      </c>
      <c r="H50" s="16">
        <v>2.3145909100000002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45.247267839999999</v>
      </c>
      <c r="F51" s="16">
        <v>2.58417107</v>
      </c>
      <c r="G51" s="14">
        <v>54.752732160000001</v>
      </c>
      <c r="H51" s="16">
        <v>2.58417107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48.909212879999998</v>
      </c>
      <c r="F52" s="16">
        <v>1.9538319500000001</v>
      </c>
      <c r="G52" s="14">
        <v>51.090787120000002</v>
      </c>
      <c r="H52" s="16">
        <v>1.9538319500000001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52.533078109999998</v>
      </c>
      <c r="F53" s="16">
        <v>2.4169436599999998</v>
      </c>
      <c r="G53" s="14">
        <v>47.466921890000002</v>
      </c>
      <c r="H53" s="16">
        <v>2.4169436599999998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52.894969359999997</v>
      </c>
      <c r="F56" s="16">
        <v>2.28047551</v>
      </c>
      <c r="G56" s="14">
        <v>47.105030640000003</v>
      </c>
      <c r="H56" s="16">
        <v>2.28047551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51.52768674</v>
      </c>
      <c r="F61" s="16">
        <v>2.3471388499999999</v>
      </c>
      <c r="G61" s="14">
        <v>48.47231326</v>
      </c>
      <c r="H61" s="16">
        <v>2.3471388499999999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41.195135389999997</v>
      </c>
      <c r="F62" s="16">
        <v>2.4538267</v>
      </c>
      <c r="G62" s="14">
        <v>58.804864610000003</v>
      </c>
      <c r="H62" s="16">
        <v>2.4538267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63.476369560000002</v>
      </c>
      <c r="F66" s="16">
        <v>2.1896422900000001</v>
      </c>
      <c r="G66" s="14">
        <v>36.523630439999998</v>
      </c>
      <c r="H66" s="16">
        <v>2.1896422900000001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47.558715839999998</v>
      </c>
      <c r="F67" s="16">
        <v>2.3831159899999999</v>
      </c>
      <c r="G67" s="14">
        <v>52.441284160000002</v>
      </c>
      <c r="H67" s="16">
        <v>2.3831159899999999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44.075259000000003</v>
      </c>
      <c r="F70" s="16">
        <v>2.5286080100000001</v>
      </c>
      <c r="G70" s="14">
        <v>55.924740999999997</v>
      </c>
      <c r="H70" s="16">
        <v>2.5286080100000001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34.674995950000003</v>
      </c>
      <c r="F72" s="16">
        <v>1.6676442300000001</v>
      </c>
      <c r="G72" s="14">
        <v>65.325004050000004</v>
      </c>
      <c r="H72" s="16">
        <v>1.6676442300000001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49.8117521</v>
      </c>
      <c r="F73" s="16">
        <v>2.2400455799999999</v>
      </c>
      <c r="G73" s="14">
        <v>50.1882479</v>
      </c>
      <c r="H73" s="16">
        <v>2.2400455799999999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64.807168869999998</v>
      </c>
      <c r="F75" s="16">
        <v>2.58431239</v>
      </c>
      <c r="G75" s="14">
        <v>35.192831130000002</v>
      </c>
      <c r="H75" s="16">
        <v>2.58431239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59.23079053</v>
      </c>
      <c r="F76" s="16">
        <v>1.6845317</v>
      </c>
      <c r="G76" s="14">
        <v>40.76920947</v>
      </c>
      <c r="H76" s="16">
        <v>1.6845317</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47.626235209999997</v>
      </c>
      <c r="F77" s="16">
        <v>2.5607196399999999</v>
      </c>
      <c r="G77" s="14">
        <v>52.373764790000003</v>
      </c>
      <c r="H77" s="16">
        <v>2.5607196399999999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60.615986900000003</v>
      </c>
      <c r="F81" s="16">
        <v>2.1609679000000002</v>
      </c>
      <c r="G81" s="14">
        <v>39.384013099999997</v>
      </c>
      <c r="H81" s="16">
        <v>2.1609679000000002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237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(6149/B7*100)</f>
        <v>83.466811456495179</v>
      </c>
      <c r="D7" s="15">
        <v>1218</v>
      </c>
      <c r="E7" s="14">
        <v>63.38999046</v>
      </c>
      <c r="F7" s="16">
        <v>1.7478395900000001</v>
      </c>
      <c r="G7" s="14">
        <v>36.61000954</v>
      </c>
      <c r="H7" s="16">
        <v>1.7478395900000001</v>
      </c>
      <c r="I7" s="14" t="s">
        <v>139</v>
      </c>
      <c r="J7" s="16" t="s">
        <v>139</v>
      </c>
      <c r="K7" s="14">
        <v>0</v>
      </c>
      <c r="L7" s="16">
        <v>0</v>
      </c>
      <c r="M7" s="14">
        <v>0</v>
      </c>
      <c r="N7" s="16">
        <v>0</v>
      </c>
      <c r="O7" s="14">
        <v>0</v>
      </c>
      <c r="P7" s="16">
        <v>0</v>
      </c>
      <c r="Q7" s="14">
        <v>0</v>
      </c>
      <c r="R7" s="16">
        <v>0</v>
      </c>
    </row>
    <row r="8" spans="1:18" x14ac:dyDescent="0.25">
      <c r="A8" s="11" t="s">
        <v>140</v>
      </c>
      <c r="B8" s="13">
        <v>3564</v>
      </c>
      <c r="C8" s="14">
        <f>(2938/B8*100)</f>
        <v>82.435465768799105</v>
      </c>
      <c r="D8" s="15">
        <v>626</v>
      </c>
      <c r="E8" s="14">
        <v>69.188711560000002</v>
      </c>
      <c r="F8" s="16">
        <v>1.9030529899999999</v>
      </c>
      <c r="G8" s="14">
        <v>30.811288439999998</v>
      </c>
      <c r="H8" s="16">
        <v>1.9030529899999999</v>
      </c>
      <c r="I8" s="14" t="s">
        <v>139</v>
      </c>
      <c r="J8" s="16" t="s">
        <v>139</v>
      </c>
      <c r="K8" s="14">
        <v>0</v>
      </c>
      <c r="L8" s="16">
        <v>0</v>
      </c>
      <c r="M8" s="14">
        <v>0</v>
      </c>
      <c r="N8" s="16">
        <v>0</v>
      </c>
      <c r="O8" s="14">
        <v>0</v>
      </c>
      <c r="P8" s="16">
        <v>0</v>
      </c>
      <c r="Q8" s="14">
        <v>0</v>
      </c>
      <c r="R8" s="16">
        <v>0</v>
      </c>
    </row>
    <row r="9" spans="1:18" x14ac:dyDescent="0.25">
      <c r="A9" s="11" t="s">
        <v>141</v>
      </c>
      <c r="B9" s="13">
        <v>4899</v>
      </c>
      <c r="C9" s="14">
        <f>(4132/B9*100)</f>
        <v>84.343743621147169</v>
      </c>
      <c r="D9" s="15">
        <v>767</v>
      </c>
      <c r="E9" s="14">
        <v>68.705946839999996</v>
      </c>
      <c r="F9" s="16">
        <v>1.8195788399999999</v>
      </c>
      <c r="G9" s="14">
        <v>31.294053160000001</v>
      </c>
      <c r="H9" s="16">
        <v>1.8195788399999999</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60.954724720000002</v>
      </c>
      <c r="F10" s="16">
        <v>1.8899116899999999</v>
      </c>
      <c r="G10" s="14">
        <v>39.045275279999998</v>
      </c>
      <c r="H10" s="16">
        <v>1.8899116899999999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(2963/B11*100)</f>
        <v>83.394314663664503</v>
      </c>
      <c r="D11" s="15">
        <v>590</v>
      </c>
      <c r="E11" s="14">
        <v>74.265349020000002</v>
      </c>
      <c r="F11" s="16">
        <v>1.9939129200000001</v>
      </c>
      <c r="G11" s="14">
        <v>25.734650980000001</v>
      </c>
      <c r="H11" s="16">
        <v>1.9939129200000001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(2880/B12*100)</f>
        <v>82.94930875576037</v>
      </c>
      <c r="D12" s="15">
        <v>592</v>
      </c>
      <c r="E12" s="14">
        <v>72.354497620000004</v>
      </c>
      <c r="F12" s="16">
        <v>1.98610018</v>
      </c>
      <c r="G12" s="14">
        <v>27.64550238</v>
      </c>
      <c r="H12" s="16">
        <v>1.98610018</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(2993/B13*100)</f>
        <v>84.096656364147236</v>
      </c>
      <c r="D13" s="15">
        <v>566</v>
      </c>
      <c r="E13" s="14">
        <v>67.449944819999999</v>
      </c>
      <c r="F13" s="16">
        <v>2.4983683999999999</v>
      </c>
      <c r="G13" s="14">
        <v>32.550055180000001</v>
      </c>
      <c r="H13" s="16">
        <v>2.4983683999999999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67.422750140000005</v>
      </c>
      <c r="F14" s="16">
        <v>2.4252417899999998</v>
      </c>
      <c r="G14" s="14">
        <v>32.577249860000002</v>
      </c>
      <c r="H14" s="16">
        <v>2.4252417899999998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(2523/B15*100)</f>
        <v>83.57071878105333</v>
      </c>
      <c r="D15" s="15">
        <v>496</v>
      </c>
      <c r="E15" s="14">
        <v>65.146663630000006</v>
      </c>
      <c r="F15" s="16">
        <v>1.89919514</v>
      </c>
      <c r="G15" s="14">
        <v>34.853336370000001</v>
      </c>
      <c r="H15" s="16">
        <v>1.89919514</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67.439657359999998</v>
      </c>
      <c r="F16" s="16">
        <v>2.0250164000000002</v>
      </c>
      <c r="G16" s="14">
        <v>32.560342640000002</v>
      </c>
      <c r="H16" s="16">
        <v>2.0250164000000002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(2782/B17*100)</f>
        <v>84.124584215300885</v>
      </c>
      <c r="D17" s="15">
        <v>525</v>
      </c>
      <c r="E17" s="14">
        <v>70.271205859999995</v>
      </c>
      <c r="F17" s="16">
        <v>1.948739</v>
      </c>
      <c r="G17" s="14">
        <v>29.728794140000002</v>
      </c>
      <c r="H17" s="16">
        <v>1.948739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(2335/B18*100)</f>
        <v>82.625619249823075</v>
      </c>
      <c r="D18" s="15">
        <v>491</v>
      </c>
      <c r="E18" s="14">
        <v>74.853485579999997</v>
      </c>
      <c r="F18" s="16">
        <v>1.89832077</v>
      </c>
      <c r="G18" s="14">
        <v>25.146514419999999</v>
      </c>
      <c r="H18" s="16">
        <v>1.89832077</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(2340/B19*100)</f>
        <v>83.333333333333343</v>
      </c>
      <c r="D19" s="15">
        <v>468</v>
      </c>
      <c r="E19" s="14">
        <v>67.250283600000003</v>
      </c>
      <c r="F19" s="16">
        <v>2.1265093400000001</v>
      </c>
      <c r="G19" s="14">
        <v>32.749716399999997</v>
      </c>
      <c r="H19" s="16">
        <v>2.1265093400000001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(1348/B20*100)</f>
        <v>82.699386503067487</v>
      </c>
      <c r="D20" s="15">
        <v>282</v>
      </c>
      <c r="E20" s="14">
        <v>73.965897859999998</v>
      </c>
      <c r="F20" s="16">
        <v>2.7154227400000002</v>
      </c>
      <c r="G20" s="14">
        <v>26.034102140000002</v>
      </c>
      <c r="H20" s="16">
        <v>2.7154227400000002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(2458/B22*100)</f>
        <v>83.862163084271586</v>
      </c>
      <c r="D22" s="15">
        <v>473</v>
      </c>
      <c r="E22" s="14">
        <v>62.072908050000002</v>
      </c>
      <c r="F22" s="16">
        <v>2.6000789599999998</v>
      </c>
      <c r="G22" s="14">
        <v>37.927091949999998</v>
      </c>
      <c r="H22" s="16">
        <v>2.6000789599999998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(4818/B23*100)</f>
        <v>83.198065964427556</v>
      </c>
      <c r="D23" s="15">
        <v>973</v>
      </c>
      <c r="E23" s="14">
        <v>67.622535209999995</v>
      </c>
      <c r="F23" s="16">
        <v>2.2378497899999998</v>
      </c>
      <c r="G23" s="14">
        <v>32.377464789999998</v>
      </c>
      <c r="H23" s="16">
        <v>2.2378497899999998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(2748/B24*100)</f>
        <v>82.324745356500898</v>
      </c>
      <c r="D24" s="15">
        <v>590</v>
      </c>
      <c r="E24" s="14">
        <v>66.355874110000002</v>
      </c>
      <c r="F24" s="16">
        <v>2.1203319700000001</v>
      </c>
      <c r="G24" s="14">
        <v>33.644125889999998</v>
      </c>
      <c r="H24" s="16">
        <v>2.1203319700000001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64.457442</v>
      </c>
      <c r="F25" s="16">
        <v>1.89799871</v>
      </c>
      <c r="G25" s="14">
        <v>35.542558</v>
      </c>
      <c r="H25" s="16">
        <v>1.89799871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(2014/B26*100)</f>
        <v>82.204081632653057</v>
      </c>
      <c r="D26" s="15">
        <v>436</v>
      </c>
      <c r="E26" s="14">
        <v>63.019227659999999</v>
      </c>
      <c r="F26" s="16">
        <v>2.2889507299999998</v>
      </c>
      <c r="G26" s="14">
        <v>36.980772340000001</v>
      </c>
      <c r="H26" s="16">
        <v>2.2889507299999998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(2168/B27*100)</f>
        <v>82.874617737003049</v>
      </c>
      <c r="D27" s="15">
        <v>448</v>
      </c>
      <c r="E27" s="14">
        <v>66.710811129999996</v>
      </c>
      <c r="F27" s="16">
        <v>2.1380265999999999</v>
      </c>
      <c r="G27" s="14">
        <v>33.289188869999997</v>
      </c>
      <c r="H27" s="16">
        <v>2.1380265999999999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(3170/B28*100)</f>
        <v>84.196547144754319</v>
      </c>
      <c r="D28" s="15">
        <v>595</v>
      </c>
      <c r="E28" s="14">
        <v>67.140233230000007</v>
      </c>
      <c r="F28" s="16">
        <v>2.1921113800000001</v>
      </c>
      <c r="G28" s="14">
        <v>32.85976677</v>
      </c>
      <c r="H28" s="16">
        <v>2.1921113800000001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71.471357420000004</v>
      </c>
      <c r="F29" s="16">
        <v>2.0502219300000002</v>
      </c>
      <c r="G29" s="14">
        <v>28.52864258</v>
      </c>
      <c r="H29" s="16">
        <v>2.0502219300000002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(1873/B30*100)</f>
        <v>82.766239505081757</v>
      </c>
      <c r="D30" s="15">
        <v>390</v>
      </c>
      <c r="E30" s="14">
        <v>66.142717709999999</v>
      </c>
      <c r="F30" s="16">
        <v>2.3770829500000001</v>
      </c>
      <c r="G30" s="14">
        <v>33.857282290000001</v>
      </c>
      <c r="H30" s="16">
        <v>2.3770829500000001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(2302/B31*100)</f>
        <v>83.709090909090918</v>
      </c>
      <c r="D31" s="15">
        <v>448</v>
      </c>
      <c r="E31" s="14">
        <v>64.344648800000002</v>
      </c>
      <c r="F31" s="16">
        <v>2.1338958099999998</v>
      </c>
      <c r="G31" s="14">
        <v>35.655351199999998</v>
      </c>
      <c r="H31" s="16">
        <v>2.1338958099999998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(3088/B33*100)</f>
        <v>84.050081654872073</v>
      </c>
      <c r="D33" s="15">
        <v>586</v>
      </c>
      <c r="E33" s="14">
        <v>71.865894190000006</v>
      </c>
      <c r="F33" s="16">
        <v>2.11412025</v>
      </c>
      <c r="G33" s="14">
        <v>28.134105810000001</v>
      </c>
      <c r="H33" s="16">
        <v>2.11412025</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(2756/B34*100)</f>
        <v>83.137254901960787</v>
      </c>
      <c r="D34" s="15">
        <v>559</v>
      </c>
      <c r="E34" s="14">
        <v>73.81314003</v>
      </c>
      <c r="F34" s="16">
        <v>1.82969201</v>
      </c>
      <c r="G34" s="14">
        <v>26.18685997</v>
      </c>
      <c r="H34" s="16">
        <v>1.82969201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(2907/B35*100)</f>
        <v>82.938659058487872</v>
      </c>
      <c r="D35" s="15">
        <v>598</v>
      </c>
      <c r="E35" s="14">
        <v>65.350574100000003</v>
      </c>
      <c r="F35" s="16">
        <v>2.15124081</v>
      </c>
      <c r="G35" s="14">
        <v>34.649425899999997</v>
      </c>
      <c r="H35" s="16">
        <v>2.15124081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(2774/B36*100)</f>
        <v>83.253301320528209</v>
      </c>
      <c r="D36" s="15">
        <v>558</v>
      </c>
      <c r="E36" s="14">
        <v>72.596899539999995</v>
      </c>
      <c r="F36" s="16">
        <v>1.9763525</v>
      </c>
      <c r="G36" s="14">
        <v>27.403100460000001</v>
      </c>
      <c r="H36" s="16">
        <v>1.9763525</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72.899843790000006</v>
      </c>
      <c r="F37" s="16">
        <v>2.4509922099999999</v>
      </c>
      <c r="G37" s="14">
        <v>27.100156210000002</v>
      </c>
      <c r="H37" s="16">
        <v>2.4509922099999999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(2459/B39*100)</f>
        <v>83.158606695975664</v>
      </c>
      <c r="D39" s="15">
        <v>498</v>
      </c>
      <c r="E39" s="14">
        <v>69.750026599999998</v>
      </c>
      <c r="F39" s="16">
        <v>2.0985979100000001</v>
      </c>
      <c r="G39" s="14">
        <v>30.249973399999998</v>
      </c>
      <c r="H39" s="16">
        <v>2.0985979100000001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(5971/B40*100)</f>
        <v>82.529371112646857</v>
      </c>
      <c r="D40" s="15">
        <v>1264</v>
      </c>
      <c r="E40" s="14">
        <v>67.398484719999999</v>
      </c>
      <c r="F40" s="16">
        <v>1.63696833</v>
      </c>
      <c r="G40" s="14">
        <v>32.601515280000001</v>
      </c>
      <c r="H40" s="16">
        <v>1.63696833</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(2402/B41*100)</f>
        <v>84.044786564030787</v>
      </c>
      <c r="D41" s="15">
        <v>456</v>
      </c>
      <c r="E41" s="14">
        <v>63.325902900000003</v>
      </c>
      <c r="F41" s="16">
        <v>2.25040095</v>
      </c>
      <c r="G41" s="14">
        <v>36.674097099999997</v>
      </c>
      <c r="H41" s="16">
        <v>2.25040095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83.23811759693865</v>
      </c>
      <c r="D42" s="15">
        <f>IF(COUNT(D7:D41) &gt; 0, AVERAGE(D7:D41), "—")</f>
        <v>612.03125</v>
      </c>
      <c r="E42" s="14">
        <f>IF(COUNT(E7:E41) &gt; 0, AVERAGE(E7:E41), "—")</f>
        <v>68.093675945624994</v>
      </c>
      <c r="F42" s="16">
        <f>IF(COUNT(F7:F41) &gt; 0, SQRT(SUMSQ(F7:F41)/(COUNT(F7:F41)*COUNT(F7:F41)) ), "—")</f>
        <v>0.37500505521255506</v>
      </c>
      <c r="G42" s="14">
        <f>IF(COUNT(G7:G41) &gt; 0, AVERAGE(G7:G41), "—")</f>
        <v>31.906324054375009</v>
      </c>
      <c r="H42" s="16">
        <f>IF(COUNT(H7:H41) &gt; 0, SQRT(SUMSQ(H7:H41)/(COUNT(H7:H41)*COUNT(H7:H41)) ), "—")</f>
        <v>0.37500505521255506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(9674/B46*100)</f>
        <v>87.405131911817861</v>
      </c>
      <c r="D46" s="15">
        <v>1394</v>
      </c>
      <c r="E46" s="14">
        <v>75.398515230000001</v>
      </c>
      <c r="F46" s="16">
        <v>1.58783311</v>
      </c>
      <c r="G46" s="14">
        <v>24.601484769999999</v>
      </c>
      <c r="H46" s="16">
        <v>1.58783311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(2585/B47*100)</f>
        <v>83.252818035426728</v>
      </c>
      <c r="D47" s="15">
        <v>520</v>
      </c>
      <c r="E47" s="14">
        <v>70.647991709999999</v>
      </c>
      <c r="F47" s="16">
        <v>2.0408094000000001</v>
      </c>
      <c r="G47" s="14">
        <v>29.352008290000001</v>
      </c>
      <c r="H47" s="16">
        <v>2.0408094000000001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(4295/B48*100)</f>
        <v>83.252568327195192</v>
      </c>
      <c r="D48" s="15">
        <v>864</v>
      </c>
      <c r="E48" s="14">
        <v>64.338853349999994</v>
      </c>
      <c r="F48" s="16">
        <v>2.17013276</v>
      </c>
      <c r="G48" s="14">
        <v>35.661146649999999</v>
      </c>
      <c r="H48" s="16">
        <v>2.17013276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(4723/B50*100)</f>
        <v>83.78570161433386</v>
      </c>
      <c r="D50" s="15">
        <v>914</v>
      </c>
      <c r="E50" s="14">
        <v>71.256228730000004</v>
      </c>
      <c r="F50" s="16">
        <v>1.94777881</v>
      </c>
      <c r="G50" s="14">
        <v>28.74377127</v>
      </c>
      <c r="H50" s="16">
        <v>1.94777881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(2894/B51*100)</f>
        <v>85.824436536180301</v>
      </c>
      <c r="D51" s="15">
        <v>478</v>
      </c>
      <c r="E51" s="14">
        <v>75.551853600000001</v>
      </c>
      <c r="F51" s="16">
        <v>2.4334115500000002</v>
      </c>
      <c r="G51" s="14">
        <v>24.448146399999999</v>
      </c>
      <c r="H51" s="16">
        <v>2.4334115500000002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(2309/B52*100)</f>
        <v>82.582260371959947</v>
      </c>
      <c r="D52" s="15">
        <v>487</v>
      </c>
      <c r="E52" s="14">
        <v>71.817997370000001</v>
      </c>
      <c r="F52" s="16">
        <v>2.26485717</v>
      </c>
      <c r="G52" s="14">
        <v>28.182002629999999</v>
      </c>
      <c r="H52" s="16">
        <v>2.26485717</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(2339/B53*100)</f>
        <v>83.208822483102097</v>
      </c>
      <c r="D53" s="15">
        <v>472</v>
      </c>
      <c r="E53" s="14">
        <v>72.756439889999996</v>
      </c>
      <c r="F53" s="16">
        <v>2.0717128800000002</v>
      </c>
      <c r="G53" s="14">
        <v>27.243560110000001</v>
      </c>
      <c r="H53" s="16">
        <v>2.0717128800000002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66.841786229999997</v>
      </c>
      <c r="F56" s="16">
        <v>2.2437558000000002</v>
      </c>
      <c r="G56" s="14">
        <v>33.158213770000003</v>
      </c>
      <c r="H56" s="16">
        <v>2.2437558000000002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(2756/B61*100)</f>
        <v>82.912154031287614</v>
      </c>
      <c r="D61" s="15">
        <v>568</v>
      </c>
      <c r="E61" s="14">
        <v>64.947302750000006</v>
      </c>
      <c r="F61" s="16">
        <v>1.76982806</v>
      </c>
      <c r="G61" s="14">
        <v>35.052697250000001</v>
      </c>
      <c r="H61" s="16">
        <v>1.76982806</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(1867/B62*100)</f>
        <v>83.125556544968831</v>
      </c>
      <c r="D62" s="15">
        <v>379</v>
      </c>
      <c r="E62" s="14">
        <v>77.590904789999996</v>
      </c>
      <c r="F62" s="16">
        <v>2.2219686699999999</v>
      </c>
      <c r="G62" s="14">
        <v>22.40909521</v>
      </c>
      <c r="H62" s="16">
        <v>2.2219686699999999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(2412/B66*100)</f>
        <v>83.344851416724254</v>
      </c>
      <c r="D66" s="15">
        <v>482</v>
      </c>
      <c r="E66" s="14">
        <v>68.326340689999995</v>
      </c>
      <c r="F66" s="16">
        <v>2.1598038800000001</v>
      </c>
      <c r="G66" s="14">
        <v>31.673659310000001</v>
      </c>
      <c r="H66" s="16">
        <v>2.1598038800000001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(3013/B67*100)</f>
        <v>85.816006835659351</v>
      </c>
      <c r="D67" s="15">
        <v>498</v>
      </c>
      <c r="E67" s="14">
        <v>75.981309909999993</v>
      </c>
      <c r="F67" s="16">
        <v>2.0689471500000001</v>
      </c>
      <c r="G67" s="14">
        <v>24.01869009</v>
      </c>
      <c r="H67" s="16">
        <v>2.0689471500000001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(2442/B70*100)</f>
        <v>83.373164902697155</v>
      </c>
      <c r="D70" s="15">
        <v>487</v>
      </c>
      <c r="E70" s="14">
        <v>71.811025099999995</v>
      </c>
      <c r="F70" s="16">
        <v>2.0021440799999999</v>
      </c>
      <c r="G70" s="14">
        <v>28.188974900000002</v>
      </c>
      <c r="H70" s="16">
        <v>2.0021440799999999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62.623304470000001</v>
      </c>
      <c r="F72" s="16">
        <v>2.2388083499999998</v>
      </c>
      <c r="G72" s="14">
        <v>37.376695529999999</v>
      </c>
      <c r="H72" s="16">
        <v>2.2388083499999998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74.711640950000003</v>
      </c>
      <c r="F73" s="16">
        <v>2.5032326899999999</v>
      </c>
      <c r="G73" s="14">
        <v>25.28835905</v>
      </c>
      <c r="H73" s="16">
        <v>2.5032326899999999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(2035/B75*100)</f>
        <v>84.580216126350791</v>
      </c>
      <c r="D75" s="15">
        <v>371</v>
      </c>
      <c r="E75" s="14">
        <v>67.733520330000005</v>
      </c>
      <c r="F75" s="16">
        <v>2.11894355</v>
      </c>
      <c r="G75" s="14">
        <v>32.266479670000002</v>
      </c>
      <c r="H75" s="16">
        <v>2.11894355</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(5877/B76*100)</f>
        <v>83.33806012478729</v>
      </c>
      <c r="D76" s="15">
        <v>1175</v>
      </c>
      <c r="E76" s="14">
        <v>69.909742739999999</v>
      </c>
      <c r="F76" s="16">
        <v>1.44429881</v>
      </c>
      <c r="G76" s="14">
        <v>30.090257260000001</v>
      </c>
      <c r="H76" s="16">
        <v>1.44429881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(2420/B77*100)</f>
        <v>83.218707015130676</v>
      </c>
      <c r="D77" s="15">
        <v>488</v>
      </c>
      <c r="E77" s="14">
        <v>73.66098934</v>
      </c>
      <c r="F77" s="16">
        <v>2.2131736599999998</v>
      </c>
      <c r="G77" s="14">
        <v>26.33901066</v>
      </c>
      <c r="H77" s="16">
        <v>2.2131736599999998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(3440/B81*100)</f>
        <v>82.632716790775888</v>
      </c>
      <c r="D81" s="15">
        <v>723</v>
      </c>
      <c r="E81" s="14">
        <v>75.896214420000007</v>
      </c>
      <c r="F81" s="16">
        <v>1.81130977</v>
      </c>
      <c r="G81" s="14">
        <v>24.10378558</v>
      </c>
      <c r="H81" s="16">
        <v>1.81130977</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238</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230</v>
      </c>
      <c r="F4" s="24"/>
      <c r="G4" s="23" t="s">
        <v>231</v>
      </c>
      <c r="H4" s="24"/>
      <c r="I4" s="23" t="s">
        <v>232</v>
      </c>
      <c r="J4" s="24"/>
      <c r="K4" s="23" t="s">
        <v>233</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(6149/B7*100)</f>
        <v>83.466811456495179</v>
      </c>
      <c r="D7" s="15">
        <v>1218</v>
      </c>
      <c r="E7" s="14">
        <v>41.662665590000003</v>
      </c>
      <c r="F7" s="16">
        <v>1.56416892</v>
      </c>
      <c r="G7" s="14">
        <v>37.963982379999997</v>
      </c>
      <c r="H7" s="16">
        <v>1.5836364700000001</v>
      </c>
      <c r="I7" s="14">
        <v>0.24863204999999999</v>
      </c>
      <c r="J7" s="16">
        <v>0.14084553</v>
      </c>
      <c r="K7" s="14">
        <v>20.124719979999998</v>
      </c>
      <c r="L7" s="16">
        <v>1.4990918499999999</v>
      </c>
      <c r="M7" s="14" t="s">
        <v>139</v>
      </c>
      <c r="N7" s="16" t="s">
        <v>139</v>
      </c>
      <c r="O7" s="14">
        <v>0</v>
      </c>
      <c r="P7" s="16">
        <v>0</v>
      </c>
      <c r="Q7" s="14">
        <v>0</v>
      </c>
      <c r="R7" s="16">
        <v>0</v>
      </c>
      <c r="S7" s="14">
        <v>0</v>
      </c>
      <c r="T7" s="16">
        <v>0</v>
      </c>
      <c r="U7" s="14">
        <v>0</v>
      </c>
      <c r="V7" s="16">
        <v>0</v>
      </c>
    </row>
    <row r="8" spans="1:22" x14ac:dyDescent="0.25">
      <c r="A8" s="11" t="s">
        <v>140</v>
      </c>
      <c r="B8" s="13">
        <v>3564</v>
      </c>
      <c r="C8" s="14">
        <f>(2938/B8*100)</f>
        <v>82.435465768799105</v>
      </c>
      <c r="D8" s="15">
        <v>626</v>
      </c>
      <c r="E8" s="14">
        <v>36.035519819999998</v>
      </c>
      <c r="F8" s="16">
        <v>1.8942161</v>
      </c>
      <c r="G8" s="14">
        <v>38.87024684</v>
      </c>
      <c r="H8" s="16">
        <v>2.1030007899999998</v>
      </c>
      <c r="I8" s="14">
        <v>1.83889072</v>
      </c>
      <c r="J8" s="16">
        <v>0.55066300000000001</v>
      </c>
      <c r="K8" s="14">
        <v>23.25534261</v>
      </c>
      <c r="L8" s="16">
        <v>2.0415055099999999</v>
      </c>
      <c r="M8" s="14" t="s">
        <v>139</v>
      </c>
      <c r="N8" s="16" t="s">
        <v>139</v>
      </c>
      <c r="O8" s="14">
        <v>0</v>
      </c>
      <c r="P8" s="16">
        <v>0</v>
      </c>
      <c r="Q8" s="14">
        <v>0</v>
      </c>
      <c r="R8" s="16">
        <v>0</v>
      </c>
      <c r="S8" s="14">
        <v>0</v>
      </c>
      <c r="T8" s="16">
        <v>0</v>
      </c>
      <c r="U8" s="14">
        <v>0</v>
      </c>
      <c r="V8" s="16">
        <v>0</v>
      </c>
    </row>
    <row r="9" spans="1:22" x14ac:dyDescent="0.25">
      <c r="A9" s="11" t="s">
        <v>141</v>
      </c>
      <c r="B9" s="13">
        <v>4899</v>
      </c>
      <c r="C9" s="14">
        <f>(4132/B9*100)</f>
        <v>84.343743621147169</v>
      </c>
      <c r="D9" s="15">
        <v>767</v>
      </c>
      <c r="E9" s="14">
        <v>39.954654300000001</v>
      </c>
      <c r="F9" s="16">
        <v>1.89387547</v>
      </c>
      <c r="G9" s="14">
        <v>35.171936840000001</v>
      </c>
      <c r="H9" s="16">
        <v>1.7142176899999999</v>
      </c>
      <c r="I9" s="14">
        <v>1.0027574699999999</v>
      </c>
      <c r="J9" s="16">
        <v>0.42325312999999998</v>
      </c>
      <c r="K9" s="14">
        <v>23.870651380000002</v>
      </c>
      <c r="L9" s="16">
        <v>1.5931053799999999</v>
      </c>
      <c r="M9" s="14" t="s">
        <v>139</v>
      </c>
      <c r="N9" s="16" t="s">
        <v>139</v>
      </c>
      <c r="O9" s="14">
        <v>0</v>
      </c>
      <c r="P9" s="16">
        <v>0</v>
      </c>
      <c r="Q9" s="14">
        <v>0</v>
      </c>
      <c r="R9" s="16">
        <v>0</v>
      </c>
      <c r="S9" s="14">
        <v>0</v>
      </c>
      <c r="T9" s="16">
        <v>0</v>
      </c>
      <c r="U9" s="14">
        <v>0</v>
      </c>
      <c r="V9" s="16">
        <v>0</v>
      </c>
    </row>
    <row r="10" spans="1:22" x14ac:dyDescent="0.25">
      <c r="A10" s="11" t="s">
        <v>142</v>
      </c>
      <c r="B10" s="13">
        <v>10036</v>
      </c>
      <c r="C10" s="14">
        <f>(8337/B10*100)</f>
        <v>83.070944599442015</v>
      </c>
      <c r="D10" s="15">
        <v>1699</v>
      </c>
      <c r="E10" s="14">
        <v>42.650482050000001</v>
      </c>
      <c r="F10" s="16">
        <v>1.9721527299999999</v>
      </c>
      <c r="G10" s="14">
        <v>38.837555020000003</v>
      </c>
      <c r="H10" s="16">
        <v>1.7527551800000001</v>
      </c>
      <c r="I10" s="14">
        <v>0.70092180999999998</v>
      </c>
      <c r="J10" s="16">
        <v>0.29853468999999999</v>
      </c>
      <c r="K10" s="14">
        <v>17.81104113</v>
      </c>
      <c r="L10" s="16">
        <v>1.1931659800000001</v>
      </c>
      <c r="M10" s="14" t="s">
        <v>139</v>
      </c>
      <c r="N10" s="16" t="s">
        <v>139</v>
      </c>
      <c r="O10" s="14">
        <v>0</v>
      </c>
      <c r="P10" s="16">
        <v>0</v>
      </c>
      <c r="Q10" s="14">
        <v>0</v>
      </c>
      <c r="R10" s="16">
        <v>0</v>
      </c>
      <c r="S10" s="14">
        <v>0</v>
      </c>
      <c r="T10" s="16">
        <v>0</v>
      </c>
      <c r="U10" s="14">
        <v>0</v>
      </c>
      <c r="V10" s="16">
        <v>0</v>
      </c>
    </row>
    <row r="11" spans="1:22" x14ac:dyDescent="0.25">
      <c r="A11" s="11" t="s">
        <v>143</v>
      </c>
      <c r="B11" s="13">
        <v>3553</v>
      </c>
      <c r="C11" s="14">
        <f>(2963/B11*100)</f>
        <v>83.394314663664503</v>
      </c>
      <c r="D11" s="15">
        <v>590</v>
      </c>
      <c r="E11" s="14">
        <v>45.575805080000002</v>
      </c>
      <c r="F11" s="16">
        <v>2.5044406399999999</v>
      </c>
      <c r="G11" s="14">
        <v>39.858214240000002</v>
      </c>
      <c r="H11" s="16">
        <v>2.2916259499999998</v>
      </c>
      <c r="I11" s="14">
        <v>0.20413786</v>
      </c>
      <c r="J11" s="16">
        <v>0.20349165999999999</v>
      </c>
      <c r="K11" s="14">
        <v>14.361842830000001</v>
      </c>
      <c r="L11" s="16">
        <v>1.5924418300000001</v>
      </c>
      <c r="M11" s="14" t="s">
        <v>139</v>
      </c>
      <c r="N11" s="16" t="s">
        <v>139</v>
      </c>
      <c r="O11" s="14">
        <v>0</v>
      </c>
      <c r="P11" s="16">
        <v>0</v>
      </c>
      <c r="Q11" s="14">
        <v>0</v>
      </c>
      <c r="R11" s="16">
        <v>0</v>
      </c>
      <c r="S11" s="14">
        <v>0</v>
      </c>
      <c r="T11" s="16">
        <v>0</v>
      </c>
      <c r="U11" s="14">
        <v>0</v>
      </c>
      <c r="V11" s="16">
        <v>0</v>
      </c>
    </row>
    <row r="12" spans="1:22" x14ac:dyDescent="0.25">
      <c r="A12" s="11" t="s">
        <v>144</v>
      </c>
      <c r="B12" s="13">
        <v>3472</v>
      </c>
      <c r="C12" s="14">
        <f>(2880/B12*100)</f>
        <v>82.94930875576037</v>
      </c>
      <c r="D12" s="15">
        <v>592</v>
      </c>
      <c r="E12" s="14">
        <v>37.066107649999999</v>
      </c>
      <c r="F12" s="16">
        <v>2.6128187199999999</v>
      </c>
      <c r="G12" s="14">
        <v>36.981439160000001</v>
      </c>
      <c r="H12" s="16">
        <v>2.4486273700000001</v>
      </c>
      <c r="I12" s="14">
        <v>0.76631495000000005</v>
      </c>
      <c r="J12" s="16">
        <v>0.47321381000000001</v>
      </c>
      <c r="K12" s="14">
        <v>25.186138230000001</v>
      </c>
      <c r="L12" s="16">
        <v>2.71221187</v>
      </c>
      <c r="M12" s="14" t="s">
        <v>139</v>
      </c>
      <c r="N12" s="16" t="s">
        <v>139</v>
      </c>
      <c r="O12" s="14">
        <v>0</v>
      </c>
      <c r="P12" s="16">
        <v>0</v>
      </c>
      <c r="Q12" s="14">
        <v>0</v>
      </c>
      <c r="R12" s="16">
        <v>0</v>
      </c>
      <c r="S12" s="14">
        <v>0</v>
      </c>
      <c r="T12" s="16">
        <v>0</v>
      </c>
      <c r="U12" s="14">
        <v>0</v>
      </c>
      <c r="V12" s="16">
        <v>0</v>
      </c>
    </row>
    <row r="13" spans="1:22" x14ac:dyDescent="0.25">
      <c r="A13" s="11" t="s">
        <v>145</v>
      </c>
      <c r="B13" s="13">
        <v>3559</v>
      </c>
      <c r="C13" s="14">
        <f>(2993/B13*100)</f>
        <v>84.096656364147236</v>
      </c>
      <c r="D13" s="15">
        <v>566</v>
      </c>
      <c r="E13" s="14">
        <v>39.52746801</v>
      </c>
      <c r="F13" s="16">
        <v>2.45344644</v>
      </c>
      <c r="G13" s="14">
        <v>44.177456239999998</v>
      </c>
      <c r="H13" s="16">
        <v>2.46784742</v>
      </c>
      <c r="I13" s="14">
        <v>0.75100489999999998</v>
      </c>
      <c r="J13" s="16">
        <v>0.3907698</v>
      </c>
      <c r="K13" s="14">
        <v>15.544070850000001</v>
      </c>
      <c r="L13" s="16">
        <v>1.8324663299999999</v>
      </c>
      <c r="M13" s="14" t="s">
        <v>139</v>
      </c>
      <c r="N13" s="16" t="s">
        <v>139</v>
      </c>
      <c r="O13" s="14">
        <v>0</v>
      </c>
      <c r="P13" s="16">
        <v>0</v>
      </c>
      <c r="Q13" s="14">
        <v>0</v>
      </c>
      <c r="R13" s="16">
        <v>0</v>
      </c>
      <c r="S13" s="14">
        <v>0</v>
      </c>
      <c r="T13" s="16">
        <v>0</v>
      </c>
      <c r="U13" s="14">
        <v>0</v>
      </c>
      <c r="V13" s="16">
        <v>0</v>
      </c>
    </row>
    <row r="14" spans="1:22" x14ac:dyDescent="0.25">
      <c r="A14" s="11" t="s">
        <v>146</v>
      </c>
      <c r="B14" s="13">
        <v>2799</v>
      </c>
      <c r="C14" s="14">
        <f>(2320/B14*100)</f>
        <v>82.886745266166486</v>
      </c>
      <c r="D14" s="15">
        <v>479</v>
      </c>
      <c r="E14" s="14">
        <v>31.56769439</v>
      </c>
      <c r="F14" s="16">
        <v>2.2610642300000001</v>
      </c>
      <c r="G14" s="14">
        <v>39.82391501</v>
      </c>
      <c r="H14" s="16">
        <v>2.3112053100000001</v>
      </c>
      <c r="I14" s="14">
        <v>0.31522306</v>
      </c>
      <c r="J14" s="16">
        <v>0.22928607000000001</v>
      </c>
      <c r="K14" s="14">
        <v>28.293167539999999</v>
      </c>
      <c r="L14" s="16">
        <v>2.2787240099999999</v>
      </c>
      <c r="M14" s="14" t="s">
        <v>139</v>
      </c>
      <c r="N14" s="16" t="s">
        <v>139</v>
      </c>
      <c r="O14" s="14">
        <v>0</v>
      </c>
      <c r="P14" s="16">
        <v>0</v>
      </c>
      <c r="Q14" s="14">
        <v>0</v>
      </c>
      <c r="R14" s="16">
        <v>0</v>
      </c>
      <c r="S14" s="14">
        <v>0</v>
      </c>
      <c r="T14" s="16">
        <v>0</v>
      </c>
      <c r="U14" s="14">
        <v>0</v>
      </c>
      <c r="V14" s="16">
        <v>0</v>
      </c>
    </row>
    <row r="15" spans="1:22" x14ac:dyDescent="0.25">
      <c r="A15" s="11" t="s">
        <v>147</v>
      </c>
      <c r="B15" s="13">
        <v>3019</v>
      </c>
      <c r="C15" s="14">
        <f>(2523/B15*100)</f>
        <v>83.57071878105333</v>
      </c>
      <c r="D15" s="15">
        <v>496</v>
      </c>
      <c r="E15" s="14">
        <v>36.236177759999997</v>
      </c>
      <c r="F15" s="16">
        <v>1.9580198900000001</v>
      </c>
      <c r="G15" s="14">
        <v>38.03596057</v>
      </c>
      <c r="H15" s="16">
        <v>2.30539564</v>
      </c>
      <c r="I15" s="14">
        <v>0.38909236000000003</v>
      </c>
      <c r="J15" s="16">
        <v>0.27748154000000003</v>
      </c>
      <c r="K15" s="14">
        <v>25.33876931</v>
      </c>
      <c r="L15" s="16">
        <v>1.8440260100000001</v>
      </c>
      <c r="M15" s="14" t="s">
        <v>139</v>
      </c>
      <c r="N15" s="16" t="s">
        <v>139</v>
      </c>
      <c r="O15" s="14">
        <v>0</v>
      </c>
      <c r="P15" s="16">
        <v>0</v>
      </c>
      <c r="Q15" s="14">
        <v>0</v>
      </c>
      <c r="R15" s="16">
        <v>0</v>
      </c>
      <c r="S15" s="14">
        <v>0</v>
      </c>
      <c r="T15" s="16">
        <v>0</v>
      </c>
      <c r="U15" s="14">
        <v>0</v>
      </c>
      <c r="V15" s="16">
        <v>0</v>
      </c>
    </row>
    <row r="16" spans="1:22" x14ac:dyDescent="0.25">
      <c r="A16" s="11" t="s">
        <v>148</v>
      </c>
      <c r="B16" s="13">
        <v>2997</v>
      </c>
      <c r="C16" s="14">
        <f>(2497/B16*100)</f>
        <v>83.316649983316651</v>
      </c>
      <c r="D16" s="15">
        <v>500</v>
      </c>
      <c r="E16" s="14">
        <v>41.315361660000001</v>
      </c>
      <c r="F16" s="16">
        <v>1.76698051</v>
      </c>
      <c r="G16" s="14">
        <v>36.81088819</v>
      </c>
      <c r="H16" s="16">
        <v>2.09991657</v>
      </c>
      <c r="I16" s="14">
        <v>1.5323341699999999</v>
      </c>
      <c r="J16" s="16">
        <v>0.48650558999999999</v>
      </c>
      <c r="K16" s="14">
        <v>20.341415990000002</v>
      </c>
      <c r="L16" s="16">
        <v>1.6881921499999999</v>
      </c>
      <c r="M16" s="14" t="s">
        <v>139</v>
      </c>
      <c r="N16" s="16" t="s">
        <v>139</v>
      </c>
      <c r="O16" s="14">
        <v>0</v>
      </c>
      <c r="P16" s="16">
        <v>0</v>
      </c>
      <c r="Q16" s="14">
        <v>0</v>
      </c>
      <c r="R16" s="16">
        <v>0</v>
      </c>
      <c r="S16" s="14">
        <v>0</v>
      </c>
      <c r="T16" s="16">
        <v>0</v>
      </c>
      <c r="U16" s="14">
        <v>0</v>
      </c>
      <c r="V16" s="16">
        <v>0</v>
      </c>
    </row>
    <row r="17" spans="1:22" x14ac:dyDescent="0.25">
      <c r="A17" s="11" t="s">
        <v>149</v>
      </c>
      <c r="B17" s="13">
        <v>3307</v>
      </c>
      <c r="C17" s="14">
        <f>(2782/B17*100)</f>
        <v>84.124584215300885</v>
      </c>
      <c r="D17" s="15">
        <v>525</v>
      </c>
      <c r="E17" s="14">
        <v>32.613364480000001</v>
      </c>
      <c r="F17" s="16">
        <v>2.3791567800000002</v>
      </c>
      <c r="G17" s="14">
        <v>39.145331339999998</v>
      </c>
      <c r="H17" s="16">
        <v>2.0476720799999999</v>
      </c>
      <c r="I17" s="14">
        <v>0.32848730999999998</v>
      </c>
      <c r="J17" s="16">
        <v>0.23782919</v>
      </c>
      <c r="K17" s="14">
        <v>27.91281686</v>
      </c>
      <c r="L17" s="16">
        <v>1.8411350399999999</v>
      </c>
      <c r="M17" s="14" t="s">
        <v>139</v>
      </c>
      <c r="N17" s="16" t="s">
        <v>139</v>
      </c>
      <c r="O17" s="14">
        <v>0</v>
      </c>
      <c r="P17" s="16">
        <v>0</v>
      </c>
      <c r="Q17" s="14">
        <v>0</v>
      </c>
      <c r="R17" s="16">
        <v>0</v>
      </c>
      <c r="S17" s="14">
        <v>0</v>
      </c>
      <c r="T17" s="16">
        <v>0</v>
      </c>
      <c r="U17" s="14">
        <v>0</v>
      </c>
      <c r="V17" s="16">
        <v>0</v>
      </c>
    </row>
    <row r="18" spans="1:22" x14ac:dyDescent="0.25">
      <c r="A18" s="11" t="s">
        <v>150</v>
      </c>
      <c r="B18" s="13">
        <v>2826</v>
      </c>
      <c r="C18" s="14">
        <f>(2335/B18*100)</f>
        <v>82.625619249823075</v>
      </c>
      <c r="D18" s="15">
        <v>491</v>
      </c>
      <c r="E18" s="14">
        <v>48.680819749999998</v>
      </c>
      <c r="F18" s="16">
        <v>2.2446405199999999</v>
      </c>
      <c r="G18" s="14">
        <v>33.503748539999997</v>
      </c>
      <c r="H18" s="16">
        <v>2.0929038000000002</v>
      </c>
      <c r="I18" s="14">
        <v>1.4867735099999999</v>
      </c>
      <c r="J18" s="16">
        <v>0.57414936999999999</v>
      </c>
      <c r="K18" s="14">
        <v>16.32865821</v>
      </c>
      <c r="L18" s="16">
        <v>1.8397300400000001</v>
      </c>
      <c r="M18" s="14" t="s">
        <v>139</v>
      </c>
      <c r="N18" s="16" t="s">
        <v>139</v>
      </c>
      <c r="O18" s="14">
        <v>0</v>
      </c>
      <c r="P18" s="16">
        <v>0</v>
      </c>
      <c r="Q18" s="14">
        <v>0</v>
      </c>
      <c r="R18" s="16">
        <v>0</v>
      </c>
      <c r="S18" s="14">
        <v>0</v>
      </c>
      <c r="T18" s="16">
        <v>0</v>
      </c>
      <c r="U18" s="14">
        <v>0</v>
      </c>
      <c r="V18" s="16">
        <v>0</v>
      </c>
    </row>
    <row r="19" spans="1:22" x14ac:dyDescent="0.25">
      <c r="A19" s="11" t="s">
        <v>151</v>
      </c>
      <c r="B19" s="13">
        <v>2808</v>
      </c>
      <c r="C19" s="14">
        <f>(2340/B19*100)</f>
        <v>83.333333333333343</v>
      </c>
      <c r="D19" s="15">
        <v>468</v>
      </c>
      <c r="E19" s="14">
        <v>40.099247230000003</v>
      </c>
      <c r="F19" s="16">
        <v>2.6153654999999998</v>
      </c>
      <c r="G19" s="14">
        <v>39.263882940000002</v>
      </c>
      <c r="H19" s="16">
        <v>2.5808405699999999</v>
      </c>
      <c r="I19" s="14">
        <v>0.95756023999999995</v>
      </c>
      <c r="J19" s="16">
        <v>0.42590172999999998</v>
      </c>
      <c r="K19" s="14">
        <v>19.679309589999999</v>
      </c>
      <c r="L19" s="16">
        <v>1.80294069</v>
      </c>
      <c r="M19" s="14" t="s">
        <v>139</v>
      </c>
      <c r="N19" s="16" t="s">
        <v>139</v>
      </c>
      <c r="O19" s="14">
        <v>0</v>
      </c>
      <c r="P19" s="16">
        <v>0</v>
      </c>
      <c r="Q19" s="14">
        <v>0</v>
      </c>
      <c r="R19" s="16">
        <v>0</v>
      </c>
      <c r="S19" s="14">
        <v>0</v>
      </c>
      <c r="T19" s="16">
        <v>0</v>
      </c>
      <c r="U19" s="14">
        <v>0</v>
      </c>
      <c r="V19" s="16">
        <v>0</v>
      </c>
    </row>
    <row r="20" spans="1:22" x14ac:dyDescent="0.25">
      <c r="A20" s="11" t="s">
        <v>152</v>
      </c>
      <c r="B20" s="13">
        <v>1630</v>
      </c>
      <c r="C20" s="14">
        <f>(1348/B20*100)</f>
        <v>82.699386503067487</v>
      </c>
      <c r="D20" s="15">
        <v>282</v>
      </c>
      <c r="E20" s="14">
        <v>42.23727212</v>
      </c>
      <c r="F20" s="16">
        <v>2.8580190600000002</v>
      </c>
      <c r="G20" s="14">
        <v>40.529691730000003</v>
      </c>
      <c r="H20" s="16">
        <v>3.2449119199999998</v>
      </c>
      <c r="I20" s="14">
        <v>2.1806035000000001</v>
      </c>
      <c r="J20" s="16">
        <v>0.87733777000000002</v>
      </c>
      <c r="K20" s="14">
        <v>15.052432659999999</v>
      </c>
      <c r="L20" s="16">
        <v>2.2319266600000001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(2458/B22*100)</f>
        <v>83.862163084271586</v>
      </c>
      <c r="D22" s="15">
        <v>473</v>
      </c>
      <c r="E22" s="14">
        <v>51.098546880000001</v>
      </c>
      <c r="F22" s="16">
        <v>2.3112342899999998</v>
      </c>
      <c r="G22" s="14">
        <v>33.734546100000003</v>
      </c>
      <c r="H22" s="16">
        <v>2.4327984699999998</v>
      </c>
      <c r="I22" s="14">
        <v>0</v>
      </c>
      <c r="J22" s="16">
        <v>0</v>
      </c>
      <c r="K22" s="14">
        <v>15.16690702</v>
      </c>
      <c r="L22" s="16">
        <v>1.63321296</v>
      </c>
      <c r="M22" s="14" t="s">
        <v>139</v>
      </c>
      <c r="N22" s="16" t="s">
        <v>139</v>
      </c>
      <c r="O22" s="14">
        <v>0</v>
      </c>
      <c r="P22" s="16">
        <v>0</v>
      </c>
      <c r="Q22" s="14">
        <v>0</v>
      </c>
      <c r="R22" s="16">
        <v>0</v>
      </c>
      <c r="S22" s="14">
        <v>0</v>
      </c>
      <c r="T22" s="16">
        <v>0</v>
      </c>
      <c r="U22" s="14">
        <v>0</v>
      </c>
      <c r="V22" s="16">
        <v>0</v>
      </c>
    </row>
    <row r="23" spans="1:22" x14ac:dyDescent="0.25">
      <c r="A23" s="11" t="s">
        <v>156</v>
      </c>
      <c r="B23" s="13">
        <v>5791</v>
      </c>
      <c r="C23" s="14">
        <f>(4818/B23*100)</f>
        <v>83.198065964427556</v>
      </c>
      <c r="D23" s="15">
        <v>973</v>
      </c>
      <c r="E23" s="14">
        <v>41.391167160000002</v>
      </c>
      <c r="F23" s="16">
        <v>2.4065115600000002</v>
      </c>
      <c r="G23" s="14">
        <v>33.275453329999998</v>
      </c>
      <c r="H23" s="16">
        <v>2.1867616299999999</v>
      </c>
      <c r="I23" s="14">
        <v>0.75098363000000001</v>
      </c>
      <c r="J23" s="16">
        <v>0.43694546000000001</v>
      </c>
      <c r="K23" s="14">
        <v>24.582395869999999</v>
      </c>
      <c r="L23" s="16">
        <v>2.00908869</v>
      </c>
      <c r="M23" s="14" t="s">
        <v>139</v>
      </c>
      <c r="N23" s="16" t="s">
        <v>139</v>
      </c>
      <c r="O23" s="14">
        <v>0</v>
      </c>
      <c r="P23" s="16">
        <v>0</v>
      </c>
      <c r="Q23" s="14">
        <v>0</v>
      </c>
      <c r="R23" s="16">
        <v>0</v>
      </c>
      <c r="S23" s="14">
        <v>0</v>
      </c>
      <c r="T23" s="16">
        <v>0</v>
      </c>
      <c r="U23" s="14">
        <v>0</v>
      </c>
      <c r="V23" s="16">
        <v>0</v>
      </c>
    </row>
    <row r="24" spans="1:22" x14ac:dyDescent="0.25">
      <c r="A24" s="11" t="s">
        <v>157</v>
      </c>
      <c r="B24" s="13">
        <v>3338</v>
      </c>
      <c r="C24" s="14">
        <f>(2748/B24*100)</f>
        <v>82.324745356500898</v>
      </c>
      <c r="D24" s="15">
        <v>590</v>
      </c>
      <c r="E24" s="14">
        <v>33.601533930000002</v>
      </c>
      <c r="F24" s="16">
        <v>2.1180541499999999</v>
      </c>
      <c r="G24" s="14">
        <v>41.205119609999997</v>
      </c>
      <c r="H24" s="16">
        <v>2.13738362</v>
      </c>
      <c r="I24" s="14">
        <v>0.14477809999999999</v>
      </c>
      <c r="J24" s="16">
        <v>0.14383352999999999</v>
      </c>
      <c r="K24" s="14">
        <v>25.048568360000001</v>
      </c>
      <c r="L24" s="16">
        <v>2.0974900700000001</v>
      </c>
      <c r="M24" s="14" t="s">
        <v>139</v>
      </c>
      <c r="N24" s="16" t="s">
        <v>139</v>
      </c>
      <c r="O24" s="14">
        <v>0</v>
      </c>
      <c r="P24" s="16">
        <v>0</v>
      </c>
      <c r="Q24" s="14">
        <v>0</v>
      </c>
      <c r="R24" s="16">
        <v>0</v>
      </c>
      <c r="S24" s="14">
        <v>0</v>
      </c>
      <c r="T24" s="16">
        <v>0</v>
      </c>
      <c r="U24" s="14">
        <v>0</v>
      </c>
      <c r="V24" s="16">
        <v>0</v>
      </c>
    </row>
    <row r="25" spans="1:22" x14ac:dyDescent="0.25">
      <c r="A25" s="11" t="s">
        <v>158</v>
      </c>
      <c r="B25" s="13">
        <v>2912</v>
      </c>
      <c r="C25" s="14">
        <f>(2408/B25*100)</f>
        <v>82.692307692307693</v>
      </c>
      <c r="D25" s="15">
        <v>504</v>
      </c>
      <c r="E25" s="14">
        <v>28.744427720000001</v>
      </c>
      <c r="F25" s="16">
        <v>2.3895375900000002</v>
      </c>
      <c r="G25" s="14">
        <v>42.166044839999998</v>
      </c>
      <c r="H25" s="16">
        <v>2.7370077799999999</v>
      </c>
      <c r="I25" s="14">
        <v>0.17949224</v>
      </c>
      <c r="J25" s="16">
        <v>0.18003648999999999</v>
      </c>
      <c r="K25" s="14">
        <v>28.910035189999999</v>
      </c>
      <c r="L25" s="16">
        <v>2.56275019</v>
      </c>
      <c r="M25" s="14" t="s">
        <v>139</v>
      </c>
      <c r="N25" s="16" t="s">
        <v>139</v>
      </c>
      <c r="O25" s="14">
        <v>0</v>
      </c>
      <c r="P25" s="16">
        <v>0</v>
      </c>
      <c r="Q25" s="14">
        <v>0</v>
      </c>
      <c r="R25" s="16">
        <v>0</v>
      </c>
      <c r="S25" s="14">
        <v>0</v>
      </c>
      <c r="T25" s="16">
        <v>0</v>
      </c>
      <c r="U25" s="14">
        <v>0</v>
      </c>
      <c r="V25" s="16">
        <v>0</v>
      </c>
    </row>
    <row r="26" spans="1:22" x14ac:dyDescent="0.25">
      <c r="A26" s="11" t="s">
        <v>159</v>
      </c>
      <c r="B26" s="13">
        <v>2450</v>
      </c>
      <c r="C26" s="14">
        <f>(2014/B26*100)</f>
        <v>82.204081632653057</v>
      </c>
      <c r="D26" s="15">
        <v>436</v>
      </c>
      <c r="E26" s="14">
        <v>46.963710329999998</v>
      </c>
      <c r="F26" s="16">
        <v>2.4479749100000001</v>
      </c>
      <c r="G26" s="14">
        <v>36.177012400000002</v>
      </c>
      <c r="H26" s="16">
        <v>2.57407539</v>
      </c>
      <c r="I26" s="14">
        <v>0.82797883000000005</v>
      </c>
      <c r="J26" s="16">
        <v>0.49683898999999998</v>
      </c>
      <c r="K26" s="14">
        <v>16.03129844</v>
      </c>
      <c r="L26" s="16">
        <v>1.82291089</v>
      </c>
      <c r="M26" s="14" t="s">
        <v>139</v>
      </c>
      <c r="N26" s="16" t="s">
        <v>139</v>
      </c>
      <c r="O26" s="14">
        <v>0</v>
      </c>
      <c r="P26" s="16">
        <v>0</v>
      </c>
      <c r="Q26" s="14">
        <v>0</v>
      </c>
      <c r="R26" s="16">
        <v>0</v>
      </c>
      <c r="S26" s="14">
        <v>0</v>
      </c>
      <c r="T26" s="16">
        <v>0</v>
      </c>
      <c r="U26" s="14">
        <v>0</v>
      </c>
      <c r="V26" s="16">
        <v>0</v>
      </c>
    </row>
    <row r="27" spans="1:22" x14ac:dyDescent="0.25">
      <c r="A27" s="11" t="s">
        <v>160</v>
      </c>
      <c r="B27" s="13">
        <v>2616</v>
      </c>
      <c r="C27" s="14">
        <f>(2168/B27*100)</f>
        <v>82.874617737003049</v>
      </c>
      <c r="D27" s="15">
        <v>448</v>
      </c>
      <c r="E27" s="14">
        <v>46.413044399999997</v>
      </c>
      <c r="F27" s="16">
        <v>2.4545378699999998</v>
      </c>
      <c r="G27" s="14">
        <v>36.67244874</v>
      </c>
      <c r="H27" s="16">
        <v>2.2819491099999998</v>
      </c>
      <c r="I27" s="14">
        <v>0.93260662999999999</v>
      </c>
      <c r="J27" s="16">
        <v>0.45713726999999998</v>
      </c>
      <c r="K27" s="14">
        <v>15.981900230000001</v>
      </c>
      <c r="L27" s="16">
        <v>1.9157794699999999</v>
      </c>
      <c r="M27" s="14" t="s">
        <v>139</v>
      </c>
      <c r="N27" s="16" t="s">
        <v>139</v>
      </c>
      <c r="O27" s="14">
        <v>0</v>
      </c>
      <c r="P27" s="16">
        <v>0</v>
      </c>
      <c r="Q27" s="14">
        <v>0</v>
      </c>
      <c r="R27" s="16">
        <v>0</v>
      </c>
      <c r="S27" s="14">
        <v>0</v>
      </c>
      <c r="T27" s="16">
        <v>0</v>
      </c>
      <c r="U27" s="14">
        <v>0</v>
      </c>
      <c r="V27" s="16">
        <v>0</v>
      </c>
    </row>
    <row r="28" spans="1:22" x14ac:dyDescent="0.25">
      <c r="A28" s="11" t="s">
        <v>161</v>
      </c>
      <c r="B28" s="13">
        <v>3765</v>
      </c>
      <c r="C28" s="14">
        <f>(3170/B28*100)</f>
        <v>84.196547144754319</v>
      </c>
      <c r="D28" s="15">
        <v>595</v>
      </c>
      <c r="E28" s="14">
        <v>52.672212010000003</v>
      </c>
      <c r="F28" s="16">
        <v>2.1105724299999999</v>
      </c>
      <c r="G28" s="14">
        <v>36.521230490000001</v>
      </c>
      <c r="H28" s="16">
        <v>2.1516939900000001</v>
      </c>
      <c r="I28" s="14">
        <v>0.53706767</v>
      </c>
      <c r="J28" s="16">
        <v>0.25891028999999999</v>
      </c>
      <c r="K28" s="14">
        <v>10.26948984</v>
      </c>
      <c r="L28" s="16">
        <v>1.4255369</v>
      </c>
      <c r="M28" s="14" t="s">
        <v>139</v>
      </c>
      <c r="N28" s="16" t="s">
        <v>139</v>
      </c>
      <c r="O28" s="14">
        <v>0</v>
      </c>
      <c r="P28" s="16">
        <v>0</v>
      </c>
      <c r="Q28" s="14">
        <v>0</v>
      </c>
      <c r="R28" s="16">
        <v>0</v>
      </c>
      <c r="S28" s="14">
        <v>0</v>
      </c>
      <c r="T28" s="16">
        <v>0</v>
      </c>
      <c r="U28" s="14">
        <v>0</v>
      </c>
      <c r="V28" s="16">
        <v>0</v>
      </c>
    </row>
    <row r="29" spans="1:22" x14ac:dyDescent="0.25">
      <c r="A29" s="11" t="s">
        <v>162</v>
      </c>
      <c r="B29" s="13">
        <v>2685</v>
      </c>
      <c r="C29" s="14">
        <f>(2224/B29*100)</f>
        <v>82.830540037243949</v>
      </c>
      <c r="D29" s="15">
        <v>461</v>
      </c>
      <c r="E29" s="14">
        <v>35.885534319999998</v>
      </c>
      <c r="F29" s="16">
        <v>2.3139563500000002</v>
      </c>
      <c r="G29" s="14">
        <v>35.518670210000003</v>
      </c>
      <c r="H29" s="16">
        <v>2.4090412699999999</v>
      </c>
      <c r="I29" s="14">
        <v>0.41907016000000002</v>
      </c>
      <c r="J29" s="16">
        <v>0.32821250000000002</v>
      </c>
      <c r="K29" s="14">
        <v>28.176725309999998</v>
      </c>
      <c r="L29" s="16">
        <v>2.15695156</v>
      </c>
      <c r="M29" s="14" t="s">
        <v>139</v>
      </c>
      <c r="N29" s="16" t="s">
        <v>139</v>
      </c>
      <c r="O29" s="14">
        <v>0</v>
      </c>
      <c r="P29" s="16">
        <v>0</v>
      </c>
      <c r="Q29" s="14">
        <v>0</v>
      </c>
      <c r="R29" s="16">
        <v>0</v>
      </c>
      <c r="S29" s="14">
        <v>0</v>
      </c>
      <c r="T29" s="16">
        <v>0</v>
      </c>
      <c r="U29" s="14">
        <v>0</v>
      </c>
      <c r="V29" s="16">
        <v>0</v>
      </c>
    </row>
    <row r="30" spans="1:22" x14ac:dyDescent="0.25">
      <c r="A30" s="11" t="s">
        <v>163</v>
      </c>
      <c r="B30" s="13">
        <v>2263</v>
      </c>
      <c r="C30" s="14">
        <f>(1873/B30*100)</f>
        <v>82.766239505081757</v>
      </c>
      <c r="D30" s="15">
        <v>390</v>
      </c>
      <c r="E30" s="14">
        <v>41.319342499999998</v>
      </c>
      <c r="F30" s="16">
        <v>2.6864165199999999</v>
      </c>
      <c r="G30" s="14">
        <v>37.331062539999998</v>
      </c>
      <c r="H30" s="16">
        <v>2.5118147999999998</v>
      </c>
      <c r="I30" s="14">
        <v>0.41713704000000001</v>
      </c>
      <c r="J30" s="16">
        <v>0.29535476999999999</v>
      </c>
      <c r="K30" s="14">
        <v>20.932457930000002</v>
      </c>
      <c r="L30" s="16">
        <v>2.03896699</v>
      </c>
      <c r="M30" s="14" t="s">
        <v>139</v>
      </c>
      <c r="N30" s="16" t="s">
        <v>139</v>
      </c>
      <c r="O30" s="14">
        <v>0</v>
      </c>
      <c r="P30" s="16">
        <v>0</v>
      </c>
      <c r="Q30" s="14">
        <v>0</v>
      </c>
      <c r="R30" s="16">
        <v>0</v>
      </c>
      <c r="S30" s="14">
        <v>0</v>
      </c>
      <c r="T30" s="16">
        <v>0</v>
      </c>
      <c r="U30" s="14">
        <v>0</v>
      </c>
      <c r="V30" s="16">
        <v>0</v>
      </c>
    </row>
    <row r="31" spans="1:22" x14ac:dyDescent="0.25">
      <c r="A31" s="11" t="s">
        <v>164</v>
      </c>
      <c r="B31" s="13">
        <v>2750</v>
      </c>
      <c r="C31" s="14">
        <f>(2302/B31*100)</f>
        <v>83.709090909090918</v>
      </c>
      <c r="D31" s="15">
        <v>448</v>
      </c>
      <c r="E31" s="14">
        <v>46.243512920000001</v>
      </c>
      <c r="F31" s="16">
        <v>2.5232866299999999</v>
      </c>
      <c r="G31" s="14">
        <v>37.735728860000002</v>
      </c>
      <c r="H31" s="16">
        <v>2.4183894399999999</v>
      </c>
      <c r="I31" s="14">
        <v>0.23214318</v>
      </c>
      <c r="J31" s="16">
        <v>0.23236867999999999</v>
      </c>
      <c r="K31" s="14">
        <v>15.788615030000001</v>
      </c>
      <c r="L31" s="16">
        <v>1.4626142799999999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(3088/B33*100)</f>
        <v>84.050081654872073</v>
      </c>
      <c r="D33" s="15">
        <v>586</v>
      </c>
      <c r="E33" s="14">
        <v>39.404096359999997</v>
      </c>
      <c r="F33" s="16">
        <v>2.06250993</v>
      </c>
      <c r="G33" s="14">
        <v>39.443777410000003</v>
      </c>
      <c r="H33" s="16">
        <v>2.5151933999999998</v>
      </c>
      <c r="I33" s="14">
        <v>1.2188376999999999</v>
      </c>
      <c r="J33" s="16">
        <v>0.58713570000000004</v>
      </c>
      <c r="K33" s="14">
        <v>19.93328854</v>
      </c>
      <c r="L33" s="16">
        <v>2.1820215200000002</v>
      </c>
      <c r="M33" s="14" t="s">
        <v>139</v>
      </c>
      <c r="N33" s="16" t="s">
        <v>139</v>
      </c>
      <c r="O33" s="14">
        <v>0</v>
      </c>
      <c r="P33" s="16">
        <v>0</v>
      </c>
      <c r="Q33" s="14">
        <v>0</v>
      </c>
      <c r="R33" s="16">
        <v>0</v>
      </c>
      <c r="S33" s="14">
        <v>0</v>
      </c>
      <c r="T33" s="16">
        <v>0</v>
      </c>
      <c r="U33" s="14">
        <v>0</v>
      </c>
      <c r="V33" s="16">
        <v>0</v>
      </c>
    </row>
    <row r="34" spans="1:22" x14ac:dyDescent="0.25">
      <c r="A34" s="11" t="s">
        <v>167</v>
      </c>
      <c r="B34" s="13">
        <v>3315</v>
      </c>
      <c r="C34" s="14">
        <f>(2756/B34*100)</f>
        <v>83.137254901960787</v>
      </c>
      <c r="D34" s="15">
        <v>559</v>
      </c>
      <c r="E34" s="14">
        <v>43.989316729999999</v>
      </c>
      <c r="F34" s="16">
        <v>2.1440115099999999</v>
      </c>
      <c r="G34" s="14">
        <v>36.720455080000001</v>
      </c>
      <c r="H34" s="16">
        <v>1.5905753300000001</v>
      </c>
      <c r="I34" s="14">
        <v>0.25727201</v>
      </c>
      <c r="J34" s="16">
        <v>0.15418177</v>
      </c>
      <c r="K34" s="14">
        <v>19.032956179999999</v>
      </c>
      <c r="L34" s="16">
        <v>1.8706321800000001</v>
      </c>
      <c r="M34" s="14" t="s">
        <v>139</v>
      </c>
      <c r="N34" s="16" t="s">
        <v>139</v>
      </c>
      <c r="O34" s="14">
        <v>0</v>
      </c>
      <c r="P34" s="16">
        <v>0</v>
      </c>
      <c r="Q34" s="14">
        <v>0</v>
      </c>
      <c r="R34" s="16">
        <v>0</v>
      </c>
      <c r="S34" s="14">
        <v>0</v>
      </c>
      <c r="T34" s="16">
        <v>0</v>
      </c>
      <c r="U34" s="14">
        <v>0</v>
      </c>
      <c r="V34" s="16">
        <v>0</v>
      </c>
    </row>
    <row r="35" spans="1:22" x14ac:dyDescent="0.25">
      <c r="A35" s="11" t="s">
        <v>168</v>
      </c>
      <c r="B35" s="13">
        <v>3505</v>
      </c>
      <c r="C35" s="14">
        <f>(2907/B35*100)</f>
        <v>82.938659058487872</v>
      </c>
      <c r="D35" s="15">
        <v>598</v>
      </c>
      <c r="E35" s="14">
        <v>35.714339430000003</v>
      </c>
      <c r="F35" s="16">
        <v>2.2706408300000001</v>
      </c>
      <c r="G35" s="14">
        <v>40.189257519999998</v>
      </c>
      <c r="H35" s="16">
        <v>2.39537405</v>
      </c>
      <c r="I35" s="14">
        <v>0.87024595000000005</v>
      </c>
      <c r="J35" s="16">
        <v>0.46751577</v>
      </c>
      <c r="K35" s="14">
        <v>23.226157100000002</v>
      </c>
      <c r="L35" s="16">
        <v>2.4914312999999999</v>
      </c>
      <c r="M35" s="14" t="s">
        <v>139</v>
      </c>
      <c r="N35" s="16" t="s">
        <v>139</v>
      </c>
      <c r="O35" s="14">
        <v>0</v>
      </c>
      <c r="P35" s="16">
        <v>0</v>
      </c>
      <c r="Q35" s="14">
        <v>0</v>
      </c>
      <c r="R35" s="16">
        <v>0</v>
      </c>
      <c r="S35" s="14">
        <v>0</v>
      </c>
      <c r="T35" s="16">
        <v>0</v>
      </c>
      <c r="U35" s="14">
        <v>0</v>
      </c>
      <c r="V35" s="16">
        <v>0</v>
      </c>
    </row>
    <row r="36" spans="1:22" x14ac:dyDescent="0.25">
      <c r="A36" s="11" t="s">
        <v>169</v>
      </c>
      <c r="B36" s="13">
        <v>3332</v>
      </c>
      <c r="C36" s="14">
        <f>(2774/B36*100)</f>
        <v>83.253301320528209</v>
      </c>
      <c r="D36" s="15">
        <v>558</v>
      </c>
      <c r="E36" s="14">
        <v>39.269872790000001</v>
      </c>
      <c r="F36" s="16">
        <v>1.99634277</v>
      </c>
      <c r="G36" s="14">
        <v>35.653249340000002</v>
      </c>
      <c r="H36" s="16">
        <v>1.8406411899999999</v>
      </c>
      <c r="I36" s="14">
        <v>1.2936345899999999</v>
      </c>
      <c r="J36" s="16">
        <v>0.56889639999999997</v>
      </c>
      <c r="K36" s="14">
        <v>23.783243290000001</v>
      </c>
      <c r="L36" s="16">
        <v>1.9460318000000001</v>
      </c>
      <c r="M36" s="14" t="s">
        <v>139</v>
      </c>
      <c r="N36" s="16" t="s">
        <v>139</v>
      </c>
      <c r="O36" s="14">
        <v>0</v>
      </c>
      <c r="P36" s="16">
        <v>0</v>
      </c>
      <c r="Q36" s="14">
        <v>0</v>
      </c>
      <c r="R36" s="16">
        <v>0</v>
      </c>
      <c r="S36" s="14">
        <v>0</v>
      </c>
      <c r="T36" s="16">
        <v>0</v>
      </c>
      <c r="U36" s="14">
        <v>0</v>
      </c>
      <c r="V36" s="16">
        <v>0</v>
      </c>
    </row>
    <row r="37" spans="1:22" x14ac:dyDescent="0.25">
      <c r="A37" s="11" t="s">
        <v>170</v>
      </c>
      <c r="B37" s="13">
        <v>2727</v>
      </c>
      <c r="C37" s="14">
        <f>(2278/B37*100)</f>
        <v>83.535020168683545</v>
      </c>
      <c r="D37" s="15">
        <v>449</v>
      </c>
      <c r="E37" s="14">
        <v>48.331018440000001</v>
      </c>
      <c r="F37" s="16">
        <v>2.3136428599999999</v>
      </c>
      <c r="G37" s="14">
        <v>34.695754970000003</v>
      </c>
      <c r="H37" s="16">
        <v>2.5229819899999999</v>
      </c>
      <c r="I37" s="14">
        <v>0.40084640999999999</v>
      </c>
      <c r="J37" s="16">
        <v>0.28087591000000001</v>
      </c>
      <c r="K37" s="14">
        <v>16.57238018</v>
      </c>
      <c r="L37" s="16">
        <v>1.97359526</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(2459/B39*100)</f>
        <v>83.158606695975664</v>
      </c>
      <c r="D39" s="15">
        <v>498</v>
      </c>
      <c r="E39" s="14">
        <v>66.281256630000001</v>
      </c>
      <c r="F39" s="16">
        <v>2.5681179799999998</v>
      </c>
      <c r="G39" s="14">
        <v>26.89988945</v>
      </c>
      <c r="H39" s="16">
        <v>2.2783209200000001</v>
      </c>
      <c r="I39" s="14">
        <v>0.21161415</v>
      </c>
      <c r="J39" s="16">
        <v>0.29996431000000001</v>
      </c>
      <c r="K39" s="14">
        <v>6.6072397699999996</v>
      </c>
      <c r="L39" s="16">
        <v>1.4495444</v>
      </c>
      <c r="M39" s="14" t="s">
        <v>139</v>
      </c>
      <c r="N39" s="16" t="s">
        <v>139</v>
      </c>
      <c r="O39" s="14">
        <v>0</v>
      </c>
      <c r="P39" s="16">
        <v>0</v>
      </c>
      <c r="Q39" s="14">
        <v>0</v>
      </c>
      <c r="R39" s="16">
        <v>0</v>
      </c>
      <c r="S39" s="14">
        <v>0</v>
      </c>
      <c r="T39" s="16">
        <v>0</v>
      </c>
      <c r="U39" s="14">
        <v>0</v>
      </c>
      <c r="V39" s="16">
        <v>0</v>
      </c>
    </row>
    <row r="40" spans="1:22" x14ac:dyDescent="0.25">
      <c r="A40" s="11" t="s">
        <v>173</v>
      </c>
      <c r="B40" s="13">
        <v>7235</v>
      </c>
      <c r="C40" s="14">
        <f>(5971/B40*100)</f>
        <v>82.529371112646857</v>
      </c>
      <c r="D40" s="15">
        <v>1264</v>
      </c>
      <c r="E40" s="14">
        <v>39.018281279999997</v>
      </c>
      <c r="F40" s="16">
        <v>2.2560459700000002</v>
      </c>
      <c r="G40" s="14">
        <v>40.818138329999996</v>
      </c>
      <c r="H40" s="16">
        <v>2.0932864000000002</v>
      </c>
      <c r="I40" s="14">
        <v>0.75346305000000002</v>
      </c>
      <c r="J40" s="16">
        <v>0.34042086999999999</v>
      </c>
      <c r="K40" s="14">
        <v>19.410117339999999</v>
      </c>
      <c r="L40" s="16">
        <v>1.5221561800000001</v>
      </c>
      <c r="M40" s="14" t="s">
        <v>139</v>
      </c>
      <c r="N40" s="16" t="s">
        <v>139</v>
      </c>
      <c r="O40" s="14">
        <v>0</v>
      </c>
      <c r="P40" s="16">
        <v>0</v>
      </c>
      <c r="Q40" s="14">
        <v>0</v>
      </c>
      <c r="R40" s="16">
        <v>0</v>
      </c>
      <c r="S40" s="14">
        <v>0</v>
      </c>
      <c r="T40" s="16">
        <v>0</v>
      </c>
      <c r="U40" s="14">
        <v>0</v>
      </c>
      <c r="V40" s="16">
        <v>0</v>
      </c>
    </row>
    <row r="41" spans="1:22" x14ac:dyDescent="0.25">
      <c r="A41" s="11" t="s">
        <v>174</v>
      </c>
      <c r="B41" s="13">
        <v>2858</v>
      </c>
      <c r="C41" s="14">
        <f>(2402/B41*100)</f>
        <v>84.044786564030787</v>
      </c>
      <c r="D41" s="15">
        <v>456</v>
      </c>
      <c r="E41" s="14">
        <v>43.921116290000001</v>
      </c>
      <c r="F41" s="16">
        <v>2.5843555500000002</v>
      </c>
      <c r="G41" s="14">
        <v>33.551099059999999</v>
      </c>
      <c r="H41" s="16">
        <v>2.4291665999999998</v>
      </c>
      <c r="I41" s="14">
        <v>0.50629683000000003</v>
      </c>
      <c r="J41" s="16">
        <v>0.38607426</v>
      </c>
      <c r="K41" s="14">
        <v>22.021487830000002</v>
      </c>
      <c r="L41" s="16">
        <v>2.2315644099999998</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83.23811759693865</v>
      </c>
      <c r="D42" s="15">
        <f>IF(COUNT(D7:D41) &gt; 0, AVERAGE(D7:D41), "—")</f>
        <v>612.03125</v>
      </c>
      <c r="E42" s="14">
        <f>IF(COUNT(E7:E41) &gt; 0, AVERAGE(E7:E41), "—")</f>
        <v>41.733905312812496</v>
      </c>
      <c r="F42" s="16">
        <f>IF(COUNT(F7:F41) &gt; 0, SQRT(SUMSQ(F7:F41)/(COUNT(F7:F41)*COUNT(F7:F41)) ), "—")</f>
        <v>0.40607315081883238</v>
      </c>
      <c r="G42" s="14">
        <f>IF(COUNT(G7:G41) &gt; 0, AVERAGE(G7:G41), "—")</f>
        <v>37.415099603750001</v>
      </c>
      <c r="H42" s="16">
        <f>IF(COUNT(H7:H41) &gt; 0, SQRT(SUMSQ(H7:H41)/(COUNT(H7:H41)*COUNT(H7:H41)) ), "—")</f>
        <v>0.40518304560477519</v>
      </c>
      <c r="I42" s="14">
        <f>IF(COUNT(I7:I41) &gt; 0, AVERAGE(I7:I41), "—")</f>
        <v>0.708006315</v>
      </c>
      <c r="J42" s="16">
        <f>IF(COUNT(J7:J41) &gt; 0, SQRT(SUMSQ(J7:J41)/(COUNT(J7:J41)*COUNT(J7:J41)) ), "—")</f>
        <v>7.0387544103544808E-2</v>
      </c>
      <c r="K42" s="14">
        <f>IF(COUNT(K7:K41) &gt; 0, AVERAGE(K7:K41), "—")</f>
        <v>20.142988769374998</v>
      </c>
      <c r="L42" s="16">
        <f>IF(COUNT(L7:L41) &gt; 0, SQRT(SUMSQ(L7:L41)/(COUNT(L7:L41)*COUNT(L7:L41)) ), "—")</f>
        <v>0.34128275606145769</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(9674/B46*100)</f>
        <v>87.405131911817861</v>
      </c>
      <c r="D46" s="15">
        <v>1394</v>
      </c>
      <c r="E46" s="14">
        <v>57.785111219999997</v>
      </c>
      <c r="F46" s="16">
        <v>1.72278599</v>
      </c>
      <c r="G46" s="14">
        <v>31.515840860000001</v>
      </c>
      <c r="H46" s="16">
        <v>1.5138521</v>
      </c>
      <c r="I46" s="14">
        <v>0.80431962000000001</v>
      </c>
      <c r="J46" s="16">
        <v>0.32689185999999998</v>
      </c>
      <c r="K46" s="14">
        <v>9.8947283000000006</v>
      </c>
      <c r="L46" s="16">
        <v>1.1818934999999999</v>
      </c>
      <c r="M46" s="14" t="s">
        <v>139</v>
      </c>
      <c r="N46" s="16" t="s">
        <v>139</v>
      </c>
      <c r="O46" s="14">
        <v>0</v>
      </c>
      <c r="P46" s="16">
        <v>0</v>
      </c>
      <c r="Q46" s="14">
        <v>0</v>
      </c>
      <c r="R46" s="16">
        <v>0</v>
      </c>
      <c r="S46" s="14">
        <v>0</v>
      </c>
      <c r="T46" s="16">
        <v>0</v>
      </c>
      <c r="U46" s="14">
        <v>0</v>
      </c>
      <c r="V46" s="16">
        <v>0</v>
      </c>
    </row>
    <row r="47" spans="1:22" x14ac:dyDescent="0.25">
      <c r="A47" s="11" t="s">
        <v>180</v>
      </c>
      <c r="B47" s="13">
        <v>3105</v>
      </c>
      <c r="C47" s="14">
        <f>(2585/B47*100)</f>
        <v>83.252818035426728</v>
      </c>
      <c r="D47" s="15">
        <v>520</v>
      </c>
      <c r="E47" s="14">
        <v>54.766717530000001</v>
      </c>
      <c r="F47" s="16">
        <v>2.4949115900000001</v>
      </c>
      <c r="G47" s="14">
        <v>31.907099410000001</v>
      </c>
      <c r="H47" s="16">
        <v>2.2675877999999998</v>
      </c>
      <c r="I47" s="14">
        <v>0.58392544999999996</v>
      </c>
      <c r="J47" s="16">
        <v>0.33403633999999999</v>
      </c>
      <c r="K47" s="14">
        <v>12.74225762</v>
      </c>
      <c r="L47" s="16">
        <v>1.6345048799999999</v>
      </c>
      <c r="M47" s="14" t="s">
        <v>139</v>
      </c>
      <c r="N47" s="16" t="s">
        <v>139</v>
      </c>
      <c r="O47" s="14">
        <v>0</v>
      </c>
      <c r="P47" s="16">
        <v>0</v>
      </c>
      <c r="Q47" s="14">
        <v>0</v>
      </c>
      <c r="R47" s="16">
        <v>0</v>
      </c>
      <c r="S47" s="14">
        <v>0</v>
      </c>
      <c r="T47" s="16">
        <v>0</v>
      </c>
      <c r="U47" s="14">
        <v>0</v>
      </c>
      <c r="V47" s="16">
        <v>0</v>
      </c>
    </row>
    <row r="48" spans="1:22" x14ac:dyDescent="0.25">
      <c r="A48" s="11" t="s">
        <v>181</v>
      </c>
      <c r="B48" s="13">
        <v>5159</v>
      </c>
      <c r="C48" s="14">
        <f>(4295/B48*100)</f>
        <v>83.252568327195192</v>
      </c>
      <c r="D48" s="15">
        <v>864</v>
      </c>
      <c r="E48" s="14">
        <v>44.149753480000001</v>
      </c>
      <c r="F48" s="16">
        <v>2.3759293800000001</v>
      </c>
      <c r="G48" s="14">
        <v>32.579448730000003</v>
      </c>
      <c r="H48" s="16">
        <v>1.94865171</v>
      </c>
      <c r="I48" s="14">
        <v>0.57547755</v>
      </c>
      <c r="J48" s="16">
        <v>0.33575843</v>
      </c>
      <c r="K48" s="14">
        <v>22.69532023</v>
      </c>
      <c r="L48" s="16">
        <v>1.5989723</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(4723/B50*100)</f>
        <v>83.78570161433386</v>
      </c>
      <c r="D50" s="15">
        <v>914</v>
      </c>
      <c r="E50" s="14">
        <v>54.113438160000001</v>
      </c>
      <c r="F50" s="16">
        <v>2.5451076499999998</v>
      </c>
      <c r="G50" s="14">
        <v>35.159860039999998</v>
      </c>
      <c r="H50" s="16">
        <v>2.3135695200000002</v>
      </c>
      <c r="I50" s="14">
        <v>0.48523685</v>
      </c>
      <c r="J50" s="16">
        <v>0.31801033000000001</v>
      </c>
      <c r="K50" s="14">
        <v>10.241464949999999</v>
      </c>
      <c r="L50" s="16">
        <v>1.3395348300000001</v>
      </c>
      <c r="M50" s="14" t="s">
        <v>139</v>
      </c>
      <c r="N50" s="16" t="s">
        <v>139</v>
      </c>
      <c r="O50" s="14">
        <v>0</v>
      </c>
      <c r="P50" s="16">
        <v>0</v>
      </c>
      <c r="Q50" s="14">
        <v>0</v>
      </c>
      <c r="R50" s="16">
        <v>0</v>
      </c>
      <c r="S50" s="14">
        <v>0</v>
      </c>
      <c r="T50" s="16">
        <v>0</v>
      </c>
      <c r="U50" s="14">
        <v>0</v>
      </c>
      <c r="V50" s="16">
        <v>0</v>
      </c>
    </row>
    <row r="51" spans="1:22" x14ac:dyDescent="0.25">
      <c r="A51" s="11" t="s">
        <v>184</v>
      </c>
      <c r="B51" s="13">
        <v>3372</v>
      </c>
      <c r="C51" s="14">
        <f>(2894/B51*100)</f>
        <v>85.824436536180301</v>
      </c>
      <c r="D51" s="15">
        <v>478</v>
      </c>
      <c r="E51" s="14">
        <v>50.57959563</v>
      </c>
      <c r="F51" s="16">
        <v>2.5558810799999998</v>
      </c>
      <c r="G51" s="14">
        <v>35.461599370000002</v>
      </c>
      <c r="H51" s="16">
        <v>2.0756591599999998</v>
      </c>
      <c r="I51" s="14">
        <v>0.26787509999999998</v>
      </c>
      <c r="J51" s="16">
        <v>0.22766943000000001</v>
      </c>
      <c r="K51" s="14">
        <v>13.6909299</v>
      </c>
      <c r="L51" s="16">
        <v>1.71749719</v>
      </c>
      <c r="M51" s="14" t="s">
        <v>139</v>
      </c>
      <c r="N51" s="16" t="s">
        <v>139</v>
      </c>
      <c r="O51" s="14">
        <v>0</v>
      </c>
      <c r="P51" s="16">
        <v>0</v>
      </c>
      <c r="Q51" s="14">
        <v>0</v>
      </c>
      <c r="R51" s="16">
        <v>0</v>
      </c>
      <c r="S51" s="14">
        <v>0</v>
      </c>
      <c r="T51" s="16">
        <v>0</v>
      </c>
      <c r="U51" s="14">
        <v>0</v>
      </c>
      <c r="V51" s="16">
        <v>0</v>
      </c>
    </row>
    <row r="52" spans="1:22" x14ac:dyDescent="0.25">
      <c r="A52" s="11" t="s">
        <v>185</v>
      </c>
      <c r="B52" s="13">
        <v>2796</v>
      </c>
      <c r="C52" s="14">
        <f>(2309/B52*100)</f>
        <v>82.582260371959947</v>
      </c>
      <c r="D52" s="15">
        <v>487</v>
      </c>
      <c r="E52" s="14">
        <v>41.766418520000002</v>
      </c>
      <c r="F52" s="16">
        <v>2.3979392399999999</v>
      </c>
      <c r="G52" s="14">
        <v>41.438621429999998</v>
      </c>
      <c r="H52" s="16">
        <v>2.3305314300000002</v>
      </c>
      <c r="I52" s="14">
        <v>0.83989753</v>
      </c>
      <c r="J52" s="16">
        <v>0.42267871000000001</v>
      </c>
      <c r="K52" s="14">
        <v>15.95506252</v>
      </c>
      <c r="L52" s="16">
        <v>1.3707360200000001</v>
      </c>
      <c r="M52" s="14" t="s">
        <v>139</v>
      </c>
      <c r="N52" s="16" t="s">
        <v>139</v>
      </c>
      <c r="O52" s="14">
        <v>0</v>
      </c>
      <c r="P52" s="16">
        <v>0</v>
      </c>
      <c r="Q52" s="14">
        <v>0</v>
      </c>
      <c r="R52" s="16">
        <v>0</v>
      </c>
      <c r="S52" s="14">
        <v>0</v>
      </c>
      <c r="T52" s="16">
        <v>0</v>
      </c>
      <c r="U52" s="14">
        <v>0</v>
      </c>
      <c r="V52" s="16">
        <v>0</v>
      </c>
    </row>
    <row r="53" spans="1:22" x14ac:dyDescent="0.25">
      <c r="A53" s="11" t="s">
        <v>186</v>
      </c>
      <c r="B53" s="13">
        <v>2811</v>
      </c>
      <c r="C53" s="14">
        <f>(2339/B53*100)</f>
        <v>83.208822483102097</v>
      </c>
      <c r="D53" s="15">
        <v>472</v>
      </c>
      <c r="E53" s="14">
        <v>52.602564010000002</v>
      </c>
      <c r="F53" s="16">
        <v>2.5034451099999999</v>
      </c>
      <c r="G53" s="14">
        <v>35.440725899999997</v>
      </c>
      <c r="H53" s="16">
        <v>2.6166785799999999</v>
      </c>
      <c r="I53" s="14">
        <v>0.68502689999999999</v>
      </c>
      <c r="J53" s="16">
        <v>0.30793675999999998</v>
      </c>
      <c r="K53" s="14">
        <v>11.271683189999999</v>
      </c>
      <c r="L53" s="16">
        <v>1.5533554999999999</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(2245/B56*100)</f>
        <v>83.643815201192254</v>
      </c>
      <c r="D56" s="15">
        <v>439</v>
      </c>
      <c r="E56" s="14">
        <v>30.84542948</v>
      </c>
      <c r="F56" s="16">
        <v>2.60431773</v>
      </c>
      <c r="G56" s="14">
        <v>32.38296347</v>
      </c>
      <c r="H56" s="16">
        <v>2.1739654499999999</v>
      </c>
      <c r="I56" s="14">
        <v>0.65027458999999999</v>
      </c>
      <c r="J56" s="16">
        <v>0.38984942</v>
      </c>
      <c r="K56" s="14">
        <v>36.121332469999999</v>
      </c>
      <c r="L56" s="16">
        <v>2.26958349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(2756/B61*100)</f>
        <v>82.912154031287614</v>
      </c>
      <c r="D61" s="15">
        <v>568</v>
      </c>
      <c r="E61" s="14">
        <v>49.15446523</v>
      </c>
      <c r="F61" s="16">
        <v>2.5082090500000001</v>
      </c>
      <c r="G61" s="14">
        <v>36.46719573</v>
      </c>
      <c r="H61" s="16">
        <v>2.0514544899999998</v>
      </c>
      <c r="I61" s="14">
        <v>0.70935409000000005</v>
      </c>
      <c r="J61" s="16">
        <v>0.33068995000000001</v>
      </c>
      <c r="K61" s="14">
        <v>13.66898495</v>
      </c>
      <c r="L61" s="16">
        <v>1.50553914</v>
      </c>
      <c r="M61" s="14" t="s">
        <v>139</v>
      </c>
      <c r="N61" s="16" t="s">
        <v>139</v>
      </c>
      <c r="O61" s="14">
        <v>0</v>
      </c>
      <c r="P61" s="16">
        <v>0</v>
      </c>
      <c r="Q61" s="14">
        <v>0</v>
      </c>
      <c r="R61" s="16">
        <v>0</v>
      </c>
      <c r="S61" s="14">
        <v>0</v>
      </c>
      <c r="T61" s="16">
        <v>0</v>
      </c>
      <c r="U61" s="14">
        <v>0</v>
      </c>
      <c r="V61" s="16">
        <v>0</v>
      </c>
    </row>
    <row r="62" spans="1:22" x14ac:dyDescent="0.25">
      <c r="A62" s="11" t="s">
        <v>195</v>
      </c>
      <c r="B62" s="13">
        <v>2246</v>
      </c>
      <c r="C62" s="14">
        <f>(1867/B62*100)</f>
        <v>83.125556544968831</v>
      </c>
      <c r="D62" s="15">
        <v>379</v>
      </c>
      <c r="E62" s="14">
        <v>28.57328914</v>
      </c>
      <c r="F62" s="16">
        <v>2.0077940600000002</v>
      </c>
      <c r="G62" s="14">
        <v>38.53542032</v>
      </c>
      <c r="H62" s="16">
        <v>2.44371407</v>
      </c>
      <c r="I62" s="14">
        <v>0.26215685999999999</v>
      </c>
      <c r="J62" s="16">
        <v>0.26208735</v>
      </c>
      <c r="K62" s="14">
        <v>32.629133690000003</v>
      </c>
      <c r="L62" s="16">
        <v>2.0810079799999999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(2412/B66*100)</f>
        <v>83.344851416724254</v>
      </c>
      <c r="D66" s="15">
        <v>482</v>
      </c>
      <c r="E66" s="14">
        <v>61.042129099999997</v>
      </c>
      <c r="F66" s="16">
        <v>2.39016019</v>
      </c>
      <c r="G66" s="14">
        <v>29.02424856</v>
      </c>
      <c r="H66" s="16">
        <v>2.3102964300000002</v>
      </c>
      <c r="I66" s="14">
        <v>1.05123408</v>
      </c>
      <c r="J66" s="16">
        <v>0.38426317999999998</v>
      </c>
      <c r="K66" s="14">
        <v>8.8823882600000008</v>
      </c>
      <c r="L66" s="16">
        <v>1.33945099</v>
      </c>
      <c r="M66" s="14" t="s">
        <v>139</v>
      </c>
      <c r="N66" s="16" t="s">
        <v>139</v>
      </c>
      <c r="O66" s="14">
        <v>0</v>
      </c>
      <c r="P66" s="16">
        <v>0</v>
      </c>
      <c r="Q66" s="14">
        <v>0</v>
      </c>
      <c r="R66" s="16">
        <v>0</v>
      </c>
      <c r="S66" s="14">
        <v>0</v>
      </c>
      <c r="T66" s="16">
        <v>0</v>
      </c>
      <c r="U66" s="14">
        <v>0</v>
      </c>
      <c r="V66" s="16">
        <v>0</v>
      </c>
    </row>
    <row r="67" spans="1:22" x14ac:dyDescent="0.25">
      <c r="A67" s="11" t="s">
        <v>200</v>
      </c>
      <c r="B67" s="13">
        <v>3511</v>
      </c>
      <c r="C67" s="14">
        <f>(3013/B67*100)</f>
        <v>85.816006835659351</v>
      </c>
      <c r="D67" s="15">
        <v>498</v>
      </c>
      <c r="E67" s="14">
        <v>52.50382501</v>
      </c>
      <c r="F67" s="16">
        <v>2.1557168400000002</v>
      </c>
      <c r="G67" s="14">
        <v>36.72239536</v>
      </c>
      <c r="H67" s="16">
        <v>1.8815720600000001</v>
      </c>
      <c r="I67" s="14">
        <v>1.10279828</v>
      </c>
      <c r="J67" s="16">
        <v>0.51601081000000004</v>
      </c>
      <c r="K67" s="14">
        <v>9.6709813499999999</v>
      </c>
      <c r="L67" s="16">
        <v>1.4306628699999999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(2442/B70*100)</f>
        <v>83.373164902697155</v>
      </c>
      <c r="D70" s="15">
        <v>487</v>
      </c>
      <c r="E70" s="14">
        <v>53.355042359999999</v>
      </c>
      <c r="F70" s="16">
        <v>2.39732258</v>
      </c>
      <c r="G70" s="14">
        <v>32.27531175</v>
      </c>
      <c r="H70" s="16">
        <v>2.25163095</v>
      </c>
      <c r="I70" s="14">
        <v>0.62783610000000001</v>
      </c>
      <c r="J70" s="16">
        <v>0.35597819000000003</v>
      </c>
      <c r="K70" s="14">
        <v>13.74180979</v>
      </c>
      <c r="L70" s="16">
        <v>1.38880695</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(3227/B72*100)</f>
        <v>82.977629210593989</v>
      </c>
      <c r="D72" s="15">
        <v>662</v>
      </c>
      <c r="E72" s="14">
        <v>34.162047170000001</v>
      </c>
      <c r="F72" s="16">
        <v>2.0114196600000001</v>
      </c>
      <c r="G72" s="14">
        <v>42.599837979999997</v>
      </c>
      <c r="H72" s="16">
        <v>1.87113185</v>
      </c>
      <c r="I72" s="14">
        <v>0.42579299999999998</v>
      </c>
      <c r="J72" s="16">
        <v>0.25540647999999999</v>
      </c>
      <c r="K72" s="14">
        <v>22.81232185</v>
      </c>
      <c r="L72" s="16">
        <v>1.8527019899999999</v>
      </c>
      <c r="M72" s="14" t="s">
        <v>139</v>
      </c>
      <c r="N72" s="16" t="s">
        <v>139</v>
      </c>
      <c r="O72" s="14">
        <v>0</v>
      </c>
      <c r="P72" s="16">
        <v>0</v>
      </c>
      <c r="Q72" s="14">
        <v>0</v>
      </c>
      <c r="R72" s="16">
        <v>0</v>
      </c>
      <c r="S72" s="14">
        <v>0</v>
      </c>
      <c r="T72" s="16">
        <v>0</v>
      </c>
      <c r="U72" s="14">
        <v>0</v>
      </c>
      <c r="V72" s="16">
        <v>0</v>
      </c>
    </row>
    <row r="73" spans="1:22" x14ac:dyDescent="0.25">
      <c r="A73" s="11" t="s">
        <v>206</v>
      </c>
      <c r="B73" s="13">
        <v>3597</v>
      </c>
      <c r="C73" s="14">
        <f>(3003/B73*100)</f>
        <v>83.486238532110093</v>
      </c>
      <c r="D73" s="15">
        <v>594</v>
      </c>
      <c r="E73" s="14">
        <v>55.592584100000003</v>
      </c>
      <c r="F73" s="16">
        <v>2.4607011299999999</v>
      </c>
      <c r="G73" s="14">
        <v>36.524953089999997</v>
      </c>
      <c r="H73" s="16">
        <v>2.3621130099999998</v>
      </c>
      <c r="I73" s="14">
        <v>0.32823373</v>
      </c>
      <c r="J73" s="16">
        <v>0.25780230999999998</v>
      </c>
      <c r="K73" s="14">
        <v>7.5542290799999998</v>
      </c>
      <c r="L73" s="16">
        <v>1.3547261900000001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(2035/B75*100)</f>
        <v>84.580216126350791</v>
      </c>
      <c r="D75" s="15">
        <v>371</v>
      </c>
      <c r="E75" s="14">
        <v>69.496655919999995</v>
      </c>
      <c r="F75" s="16">
        <v>2.6406957200000001</v>
      </c>
      <c r="G75" s="14">
        <v>27.51907804</v>
      </c>
      <c r="H75" s="16">
        <v>2.4168051300000002</v>
      </c>
      <c r="I75" s="14">
        <v>0.82166437999999997</v>
      </c>
      <c r="J75" s="16">
        <v>0.57885936999999998</v>
      </c>
      <c r="K75" s="14">
        <v>2.16260166</v>
      </c>
      <c r="L75" s="16">
        <v>0.74444348999999999</v>
      </c>
      <c r="M75" s="14" t="s">
        <v>139</v>
      </c>
      <c r="N75" s="16" t="s">
        <v>139</v>
      </c>
      <c r="O75" s="14">
        <v>0</v>
      </c>
      <c r="P75" s="16">
        <v>0</v>
      </c>
      <c r="Q75" s="14">
        <v>0</v>
      </c>
      <c r="R75" s="16">
        <v>0</v>
      </c>
      <c r="S75" s="14">
        <v>0</v>
      </c>
      <c r="T75" s="16">
        <v>0</v>
      </c>
      <c r="U75" s="14">
        <v>0</v>
      </c>
      <c r="V75" s="16">
        <v>0</v>
      </c>
    </row>
    <row r="76" spans="1:22" x14ac:dyDescent="0.25">
      <c r="A76" s="11" t="s">
        <v>209</v>
      </c>
      <c r="B76" s="13">
        <v>7052</v>
      </c>
      <c r="C76" s="14">
        <f>(5877/B76*100)</f>
        <v>83.33806012478729</v>
      </c>
      <c r="D76" s="15">
        <v>1175</v>
      </c>
      <c r="E76" s="14">
        <v>58.955797840000002</v>
      </c>
      <c r="F76" s="16">
        <v>1.6435344199999999</v>
      </c>
      <c r="G76" s="14">
        <v>32.602664189999999</v>
      </c>
      <c r="H76" s="16">
        <v>1.44923132</v>
      </c>
      <c r="I76" s="14">
        <v>0.45636009999999999</v>
      </c>
      <c r="J76" s="16">
        <v>0.21857028000000001</v>
      </c>
      <c r="K76" s="14">
        <v>7.9851778600000003</v>
      </c>
      <c r="L76" s="16">
        <v>0.85270429000000003</v>
      </c>
      <c r="M76" s="14" t="s">
        <v>139</v>
      </c>
      <c r="N76" s="16" t="s">
        <v>139</v>
      </c>
      <c r="O76" s="14">
        <v>0</v>
      </c>
      <c r="P76" s="16">
        <v>0</v>
      </c>
      <c r="Q76" s="14">
        <v>0</v>
      </c>
      <c r="R76" s="16">
        <v>0</v>
      </c>
      <c r="S76" s="14">
        <v>0</v>
      </c>
      <c r="T76" s="16">
        <v>0</v>
      </c>
      <c r="U76" s="14">
        <v>0</v>
      </c>
      <c r="V76" s="16">
        <v>0</v>
      </c>
    </row>
    <row r="77" spans="1:22" x14ac:dyDescent="0.25">
      <c r="A77" s="11" t="s">
        <v>210</v>
      </c>
      <c r="B77" s="13">
        <v>2908</v>
      </c>
      <c r="C77" s="14">
        <f>(2420/B77*100)</f>
        <v>83.218707015130676</v>
      </c>
      <c r="D77" s="15">
        <v>488</v>
      </c>
      <c r="E77" s="14">
        <v>52.300553909999998</v>
      </c>
      <c r="F77" s="16">
        <v>2.3105034400000002</v>
      </c>
      <c r="G77" s="14">
        <v>31.32252209</v>
      </c>
      <c r="H77" s="16">
        <v>2.3718139100000002</v>
      </c>
      <c r="I77" s="14">
        <v>0.58640245000000002</v>
      </c>
      <c r="J77" s="16">
        <v>0.36953933999999999</v>
      </c>
      <c r="K77" s="14">
        <v>15.79052156</v>
      </c>
      <c r="L77" s="16">
        <v>1.8547795899999999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(3440/B81*100)</f>
        <v>82.632716790775888</v>
      </c>
      <c r="D81" s="15">
        <v>723</v>
      </c>
      <c r="E81" s="14">
        <v>56.392536999999997</v>
      </c>
      <c r="F81" s="16">
        <v>2.2155567999999999</v>
      </c>
      <c r="G81" s="14">
        <v>35.660575860000002</v>
      </c>
      <c r="H81" s="16">
        <v>2.0043295699999999</v>
      </c>
      <c r="I81" s="14">
        <v>0.45230429999999999</v>
      </c>
      <c r="J81" s="16">
        <v>0.28292943999999998</v>
      </c>
      <c r="K81" s="14">
        <v>7.4945828399999996</v>
      </c>
      <c r="L81" s="16">
        <v>1.1873084599999999</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239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38.03533599</v>
      </c>
      <c r="F7" s="16">
        <v>1.7940098</v>
      </c>
      <c r="G7" s="14">
        <v>61.96466401</v>
      </c>
      <c r="H7" s="16">
        <v>1.7940098</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39.884168430000003</v>
      </c>
      <c r="F8" s="16">
        <v>2.2665621499999999</v>
      </c>
      <c r="G8" s="14">
        <v>60.115831569999997</v>
      </c>
      <c r="H8" s="16">
        <v>2.2665621499999999</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41.242511499999999</v>
      </c>
      <c r="F9" s="16">
        <v>2.1130995600000002</v>
      </c>
      <c r="G9" s="14">
        <v>58.757488500000001</v>
      </c>
      <c r="H9" s="16">
        <v>2.1130995600000002</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39.627301799999998</v>
      </c>
      <c r="F10" s="16">
        <v>1.5375948100000001</v>
      </c>
      <c r="G10" s="14">
        <v>60.372698200000002</v>
      </c>
      <c r="H10" s="16">
        <v>1.5375948100000001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36.177953299999999</v>
      </c>
      <c r="F11" s="16">
        <v>2.4165209299999999</v>
      </c>
      <c r="G11" s="14">
        <v>63.822046700000001</v>
      </c>
      <c r="H11" s="16">
        <v>2.4165209299999999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42.135719049999999</v>
      </c>
      <c r="F12" s="16">
        <v>2.8822972</v>
      </c>
      <c r="G12" s="14">
        <v>57.864280950000001</v>
      </c>
      <c r="H12" s="16">
        <v>2.8822972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34.913312769999997</v>
      </c>
      <c r="F13" s="16">
        <v>2.3045139400000001</v>
      </c>
      <c r="G13" s="14">
        <v>65.086687229999995</v>
      </c>
      <c r="H13" s="16">
        <v>2.3045139400000001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20.04116355</v>
      </c>
      <c r="F14" s="16">
        <v>1.7910531599999999</v>
      </c>
      <c r="G14" s="14">
        <v>79.958836450000007</v>
      </c>
      <c r="H14" s="16">
        <v>1.7910531599999999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38.069076269999996</v>
      </c>
      <c r="F15" s="16">
        <v>2.3321494199999999</v>
      </c>
      <c r="G15" s="14">
        <v>61.930923730000004</v>
      </c>
      <c r="H15" s="16">
        <v>2.3321494199999999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45.906983859999997</v>
      </c>
      <c r="F16" s="16">
        <v>2.1437501800000001</v>
      </c>
      <c r="G16" s="14">
        <v>54.093016140000003</v>
      </c>
      <c r="H16" s="16">
        <v>2.1437501800000001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40.134948770000001</v>
      </c>
      <c r="F17" s="16">
        <v>2.1938259000000002</v>
      </c>
      <c r="G17" s="14">
        <v>59.865051229999999</v>
      </c>
      <c r="H17" s="16">
        <v>2.1938259000000002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60.522814680000003</v>
      </c>
      <c r="F18" s="16">
        <v>2.18874572</v>
      </c>
      <c r="G18" s="14">
        <v>39.477185319999997</v>
      </c>
      <c r="H18" s="16">
        <v>2.18874572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47.786829969999999</v>
      </c>
      <c r="F19" s="16">
        <v>2.5482251699999998</v>
      </c>
      <c r="G19" s="14">
        <v>52.213170030000001</v>
      </c>
      <c r="H19" s="16">
        <v>2.5482251699999998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45.06632089</v>
      </c>
      <c r="F20" s="16">
        <v>2.9750264099999999</v>
      </c>
      <c r="G20" s="14">
        <v>54.93367911</v>
      </c>
      <c r="H20" s="16">
        <v>2.9750264099999999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34.482006239999997</v>
      </c>
      <c r="F22" s="16">
        <v>2.1578927999999999</v>
      </c>
      <c r="G22" s="14">
        <v>65.517993759999996</v>
      </c>
      <c r="H22" s="16">
        <v>2.1578927999999999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51.558291750000002</v>
      </c>
      <c r="F23" s="16">
        <v>2.0692752300000001</v>
      </c>
      <c r="G23" s="14">
        <v>48.441708249999998</v>
      </c>
      <c r="H23" s="16">
        <v>2.0692752300000001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56.5246566</v>
      </c>
      <c r="F24" s="16">
        <v>2.2294135700000002</v>
      </c>
      <c r="G24" s="14">
        <v>43.4753434</v>
      </c>
      <c r="H24" s="16">
        <v>2.2294135700000002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45.032138269999997</v>
      </c>
      <c r="F25" s="16">
        <v>2.5436080699999999</v>
      </c>
      <c r="G25" s="14">
        <v>54.967861730000003</v>
      </c>
      <c r="H25" s="16">
        <v>2.5436080699999999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37.006245579999998</v>
      </c>
      <c r="F26" s="16">
        <v>2.25705015</v>
      </c>
      <c r="G26" s="14">
        <v>62.993754420000002</v>
      </c>
      <c r="H26" s="16">
        <v>2.25705015</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45.229515650000003</v>
      </c>
      <c r="F27" s="16">
        <v>2.3978953700000001</v>
      </c>
      <c r="G27" s="14">
        <v>54.770484349999997</v>
      </c>
      <c r="H27" s="16">
        <v>2.3978953700000001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55.005303069999997</v>
      </c>
      <c r="F28" s="16">
        <v>2.4216547799999999</v>
      </c>
      <c r="G28" s="14">
        <v>44.994696930000003</v>
      </c>
      <c r="H28" s="16">
        <v>2.4216547799999999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48.331061849999998</v>
      </c>
      <c r="F29" s="16">
        <v>2.66580759</v>
      </c>
      <c r="G29" s="14">
        <v>51.668938150000002</v>
      </c>
      <c r="H29" s="16">
        <v>2.66580759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31.87409057</v>
      </c>
      <c r="F30" s="16">
        <v>2.6806005399999999</v>
      </c>
      <c r="G30" s="14">
        <v>68.125909429999993</v>
      </c>
      <c r="H30" s="16">
        <v>2.6806005399999999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40.955129390000003</v>
      </c>
      <c r="F31" s="16">
        <v>2.4463282500000001</v>
      </c>
      <c r="G31" s="14">
        <v>59.044870609999997</v>
      </c>
      <c r="H31" s="16">
        <v>2.4463282500000001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33.583172040000001</v>
      </c>
      <c r="F33" s="16">
        <v>1.8381896</v>
      </c>
      <c r="G33" s="14">
        <v>66.416827960000006</v>
      </c>
      <c r="H33" s="16">
        <v>1.8381896</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44.178023230000001</v>
      </c>
      <c r="F34" s="16">
        <v>2.1256694</v>
      </c>
      <c r="G34" s="14">
        <v>55.821976769999999</v>
      </c>
      <c r="H34" s="16">
        <v>2.1256694</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31.696209840000002</v>
      </c>
      <c r="F35" s="16">
        <v>1.9433134400000001</v>
      </c>
      <c r="G35" s="14">
        <v>68.303790160000005</v>
      </c>
      <c r="H35" s="16">
        <v>1.9433134400000001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39.74137107</v>
      </c>
      <c r="F36" s="16">
        <v>2.1284534499999999</v>
      </c>
      <c r="G36" s="14">
        <v>60.25862893</v>
      </c>
      <c r="H36" s="16">
        <v>2.1284534499999999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49.159887070000003</v>
      </c>
      <c r="F37" s="16">
        <v>2.7041713199999999</v>
      </c>
      <c r="G37" s="14">
        <v>50.840112929999997</v>
      </c>
      <c r="H37" s="16">
        <v>2.7041713199999999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65.150534620000002</v>
      </c>
      <c r="F39" s="16">
        <v>2.7573052100000002</v>
      </c>
      <c r="G39" s="14">
        <v>34.849465379999998</v>
      </c>
      <c r="H39" s="16">
        <v>2.7573052100000002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39.384931520000002</v>
      </c>
      <c r="F40" s="16">
        <v>2.1421421</v>
      </c>
      <c r="G40" s="14">
        <v>60.615068479999998</v>
      </c>
      <c r="H40" s="16">
        <v>2.1421421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46.71427559</v>
      </c>
      <c r="F41" s="16">
        <v>2.4626157200000001</v>
      </c>
      <c r="G41" s="14">
        <v>53.28572441</v>
      </c>
      <c r="H41" s="16">
        <v>2.4626157200000001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42.660977649374999</v>
      </c>
      <c r="F42" s="16">
        <f>IF(COUNT(F7:F41) &gt; 0, SQRT(SUMSQ(F7:F41)/(COUNT(F7:F41)*COUNT(F7:F41)) ), "—")</f>
        <v>0.40980408516224887</v>
      </c>
      <c r="G42" s="14">
        <f>IF(COUNT(G7:G41) &gt; 0, AVERAGE(G7:G41), "—")</f>
        <v>57.339022350625015</v>
      </c>
      <c r="H42" s="16">
        <f>IF(COUNT(H7:H41) &gt; 0, SQRT(SUMSQ(H7:H41)/(COUNT(H7:H41)*COUNT(H7:H41)) ), "—")</f>
        <v>0.40980408516224887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62.278138200000001</v>
      </c>
      <c r="F46" s="16">
        <v>1.64596948</v>
      </c>
      <c r="G46" s="14">
        <v>37.721861799999999</v>
      </c>
      <c r="H46" s="16">
        <v>1.64596948</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42.76076115</v>
      </c>
      <c r="F47" s="16">
        <v>2.7299464699999998</v>
      </c>
      <c r="G47" s="14">
        <v>57.23923885</v>
      </c>
      <c r="H47" s="16">
        <v>2.7299464699999998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56.959622609999997</v>
      </c>
      <c r="F48" s="16">
        <v>2.05427859</v>
      </c>
      <c r="G48" s="14">
        <v>43.040377390000003</v>
      </c>
      <c r="H48" s="16">
        <v>2.05427859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39.819926459999998</v>
      </c>
      <c r="F50" s="16">
        <v>2.20899277</v>
      </c>
      <c r="G50" s="14">
        <v>60.180073540000002</v>
      </c>
      <c r="H50" s="16">
        <v>2.20899277</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38.465281539999999</v>
      </c>
      <c r="F51" s="16">
        <v>2.6599359200000001</v>
      </c>
      <c r="G51" s="14">
        <v>61.534718460000001</v>
      </c>
      <c r="H51" s="16">
        <v>2.6599359200000001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44.0892488</v>
      </c>
      <c r="F52" s="16">
        <v>2.1854156300000001</v>
      </c>
      <c r="G52" s="14">
        <v>55.9107512</v>
      </c>
      <c r="H52" s="16">
        <v>2.1854156300000001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56.794373450000002</v>
      </c>
      <c r="F53" s="16">
        <v>2.3368864600000001</v>
      </c>
      <c r="G53" s="14">
        <v>43.205626549999998</v>
      </c>
      <c r="H53" s="16">
        <v>2.3368864600000001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37.21803251</v>
      </c>
      <c r="F56" s="16">
        <v>3.09389732</v>
      </c>
      <c r="G56" s="14">
        <v>62.78196749</v>
      </c>
      <c r="H56" s="16">
        <v>3.09389732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38.26337419</v>
      </c>
      <c r="F61" s="16">
        <v>2.1595744899999998</v>
      </c>
      <c r="G61" s="14">
        <v>61.73662581</v>
      </c>
      <c r="H61" s="16">
        <v>2.1595744899999998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38.2418543</v>
      </c>
      <c r="F62" s="16">
        <v>2.5082794900000001</v>
      </c>
      <c r="G62" s="14">
        <v>61.7581457</v>
      </c>
      <c r="H62" s="16">
        <v>2.5082794900000001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60.066553050000003</v>
      </c>
      <c r="F66" s="16">
        <v>2.2530103499999998</v>
      </c>
      <c r="G66" s="14">
        <v>39.933446949999997</v>
      </c>
      <c r="H66" s="16">
        <v>2.2530103499999998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39.093464539999999</v>
      </c>
      <c r="F67" s="16">
        <v>2.4973270300000001</v>
      </c>
      <c r="G67" s="14">
        <v>60.906535460000001</v>
      </c>
      <c r="H67" s="16">
        <v>2.4973270300000001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32.624345750000003</v>
      </c>
      <c r="F70" s="16">
        <v>1.7293435800000001</v>
      </c>
      <c r="G70" s="14">
        <v>67.375654249999997</v>
      </c>
      <c r="H70" s="16">
        <v>1.7293435800000001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71.91945115</v>
      </c>
      <c r="F72" s="16">
        <v>2.0716012699999999</v>
      </c>
      <c r="G72" s="14">
        <v>28.08054885</v>
      </c>
      <c r="H72" s="16">
        <v>2.0716012699999999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48.918039309999997</v>
      </c>
      <c r="F73" s="16">
        <v>2.6956994700000001</v>
      </c>
      <c r="G73" s="14">
        <v>51.081960690000003</v>
      </c>
      <c r="H73" s="16">
        <v>2.6956994700000001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65.655197520000002</v>
      </c>
      <c r="F75" s="16">
        <v>2.7597843499999999</v>
      </c>
      <c r="G75" s="14">
        <v>34.344802479999998</v>
      </c>
      <c r="H75" s="16">
        <v>2.7597843499999999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58.657277579999999</v>
      </c>
      <c r="F76" s="16">
        <v>1.4569120600000001</v>
      </c>
      <c r="G76" s="14">
        <v>41.342722420000001</v>
      </c>
      <c r="H76" s="16">
        <v>1.4569120600000001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44.079177190000003</v>
      </c>
      <c r="F77" s="16">
        <v>2.8591558199999998</v>
      </c>
      <c r="G77" s="14">
        <v>55.920822809999997</v>
      </c>
      <c r="H77" s="16">
        <v>2.8591558199999998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52.725025709999997</v>
      </c>
      <c r="F81" s="16">
        <v>2.3139480099999998</v>
      </c>
      <c r="G81" s="14">
        <v>47.274974290000003</v>
      </c>
      <c r="H81" s="16">
        <v>2.3139480099999998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79.798272800000007</v>
      </c>
      <c r="F7" s="16">
        <v>1.3733187099999999</v>
      </c>
      <c r="G7" s="14">
        <v>20.201727200000001</v>
      </c>
      <c r="H7" s="16">
        <v>1.3733187099999999</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76.987867269999995</v>
      </c>
      <c r="F8" s="16">
        <v>1.9805173700000001</v>
      </c>
      <c r="G8" s="14">
        <v>23.012132730000001</v>
      </c>
      <c r="H8" s="16">
        <v>1.9805173700000001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82.945011039999997</v>
      </c>
      <c r="F9" s="16">
        <v>1.2743447000000001</v>
      </c>
      <c r="G9" s="14">
        <v>17.054988959999999</v>
      </c>
      <c r="H9" s="16">
        <v>1.2743447000000001</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80.024816830000006</v>
      </c>
      <c r="F10" s="16">
        <v>1.42195001</v>
      </c>
      <c r="G10" s="14">
        <v>19.975183170000001</v>
      </c>
      <c r="H10" s="16">
        <v>1.42195001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77.621315409999994</v>
      </c>
      <c r="F11" s="16">
        <v>1.9864286600000001</v>
      </c>
      <c r="G11" s="14">
        <v>22.378684589999999</v>
      </c>
      <c r="H11" s="16">
        <v>1.9864286600000001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79.598561239999995</v>
      </c>
      <c r="F12" s="16">
        <v>1.87144651</v>
      </c>
      <c r="G12" s="14">
        <v>20.401438760000001</v>
      </c>
      <c r="H12" s="16">
        <v>1.87144651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86.606511879999999</v>
      </c>
      <c r="F13" s="16">
        <v>1.97384856</v>
      </c>
      <c r="G13" s="14">
        <v>13.393488120000001</v>
      </c>
      <c r="H13" s="16">
        <v>1.97384856</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74.279304339999996</v>
      </c>
      <c r="F14" s="16">
        <v>1.9454258200000001</v>
      </c>
      <c r="G14" s="14">
        <v>25.720695660000001</v>
      </c>
      <c r="H14" s="16">
        <v>1.9454258200000001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81.459844899999993</v>
      </c>
      <c r="F15" s="16">
        <v>1.4781746600000001</v>
      </c>
      <c r="G15" s="14">
        <v>18.5401551</v>
      </c>
      <c r="H15" s="16">
        <v>1.4781746600000001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79.303069429999994</v>
      </c>
      <c r="F16" s="16">
        <v>1.97372792</v>
      </c>
      <c r="G16" s="14">
        <v>20.696930569999999</v>
      </c>
      <c r="H16" s="16">
        <v>1.97372792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72.163731819999995</v>
      </c>
      <c r="F17" s="16">
        <v>2.37427871</v>
      </c>
      <c r="G17" s="14">
        <v>27.836268180000001</v>
      </c>
      <c r="H17" s="16">
        <v>2.37427871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82.154445730000006</v>
      </c>
      <c r="F18" s="16">
        <v>1.6456321599999999</v>
      </c>
      <c r="G18" s="14">
        <v>17.845554270000001</v>
      </c>
      <c r="H18" s="16">
        <v>1.6456321599999999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82.899781219999994</v>
      </c>
      <c r="F19" s="16">
        <v>1.9280461200000001</v>
      </c>
      <c r="G19" s="14">
        <v>17.100218779999999</v>
      </c>
      <c r="H19" s="16">
        <v>1.9280461200000001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86.077575190000005</v>
      </c>
      <c r="F20" s="16">
        <v>2.0072092399999999</v>
      </c>
      <c r="G20" s="14">
        <v>13.922424810000001</v>
      </c>
      <c r="H20" s="16">
        <v>2.0072092399999999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79.772233529999994</v>
      </c>
      <c r="F22" s="16">
        <v>1.7246405199999999</v>
      </c>
      <c r="G22" s="14">
        <v>20.227766469999999</v>
      </c>
      <c r="H22" s="16">
        <v>1.7246405199999999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82.331205030000007</v>
      </c>
      <c r="F23" s="16">
        <v>1.6301557499999999</v>
      </c>
      <c r="G23" s="14">
        <v>17.66879497</v>
      </c>
      <c r="H23" s="16">
        <v>1.6301557499999999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87.346034650000007</v>
      </c>
      <c r="F24" s="16">
        <v>1.4562809800000001</v>
      </c>
      <c r="G24" s="14">
        <v>12.65396535</v>
      </c>
      <c r="H24" s="16">
        <v>1.4562809800000001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77.362055659999996</v>
      </c>
      <c r="F25" s="16">
        <v>2.2700741099999999</v>
      </c>
      <c r="G25" s="14">
        <v>22.637944340000001</v>
      </c>
      <c r="H25" s="16">
        <v>2.2700741099999999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73.847165419999996</v>
      </c>
      <c r="F26" s="16">
        <v>2.0097718900000001</v>
      </c>
      <c r="G26" s="14">
        <v>26.15283458</v>
      </c>
      <c r="H26" s="16">
        <v>2.0097718900000001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78.561007099999998</v>
      </c>
      <c r="F27" s="16">
        <v>1.9073029100000001</v>
      </c>
      <c r="G27" s="14">
        <v>21.438992899999999</v>
      </c>
      <c r="H27" s="16">
        <v>1.9073029100000001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70.228370159999997</v>
      </c>
      <c r="F28" s="16">
        <v>2.02876908</v>
      </c>
      <c r="G28" s="14">
        <v>29.771629839999999</v>
      </c>
      <c r="H28" s="16">
        <v>2.02876908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82.634644719999997</v>
      </c>
      <c r="F29" s="16">
        <v>1.9675708199999999</v>
      </c>
      <c r="G29" s="14">
        <v>17.365355279999999</v>
      </c>
      <c r="H29" s="16">
        <v>1.9675708199999999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79.579469759999995</v>
      </c>
      <c r="F30" s="16">
        <v>2.1562774299999998</v>
      </c>
      <c r="G30" s="14">
        <v>20.420530240000001</v>
      </c>
      <c r="H30" s="16">
        <v>2.1562774299999998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84.45446441</v>
      </c>
      <c r="F31" s="16">
        <v>1.58953638</v>
      </c>
      <c r="G31" s="14">
        <v>15.54553559</v>
      </c>
      <c r="H31" s="16">
        <v>1.58953638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84.463071850000006</v>
      </c>
      <c r="F33" s="16">
        <v>1.8773047899999999</v>
      </c>
      <c r="G33" s="14">
        <v>15.53692815</v>
      </c>
      <c r="H33" s="16">
        <v>1.8773047899999999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81.290302749999995</v>
      </c>
      <c r="F34" s="16">
        <v>1.6763153200000001</v>
      </c>
      <c r="G34" s="14">
        <v>18.709697250000001</v>
      </c>
      <c r="H34" s="16">
        <v>1.6763153200000001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76.673639230000006</v>
      </c>
      <c r="F35" s="16">
        <v>2.0427044599999999</v>
      </c>
      <c r="G35" s="14">
        <v>23.326360770000001</v>
      </c>
      <c r="H35" s="16">
        <v>2.0427044599999999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84.285453779999997</v>
      </c>
      <c r="F36" s="16">
        <v>1.66643802</v>
      </c>
      <c r="G36" s="14">
        <v>15.714546220000001</v>
      </c>
      <c r="H36" s="16">
        <v>1.66643802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81.94460042</v>
      </c>
      <c r="F37" s="16">
        <v>1.80434443</v>
      </c>
      <c r="G37" s="14">
        <v>18.05539958</v>
      </c>
      <c r="H37" s="16">
        <v>1.80434443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85.783374280000004</v>
      </c>
      <c r="F39" s="16">
        <v>2.23484069</v>
      </c>
      <c r="G39" s="14">
        <v>14.21662572</v>
      </c>
      <c r="H39" s="16">
        <v>2.23484069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77.132337390000004</v>
      </c>
      <c r="F40" s="16">
        <v>1.7914003199999999</v>
      </c>
      <c r="G40" s="14">
        <v>22.86766261</v>
      </c>
      <c r="H40" s="16">
        <v>1.7914003199999999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73.757201589999994</v>
      </c>
      <c r="F41" s="16">
        <v>2.5841375900000001</v>
      </c>
      <c r="G41" s="14">
        <v>26.242798409999999</v>
      </c>
      <c r="H41" s="16">
        <v>2.5841375900000001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80.105210650937494</v>
      </c>
      <c r="F42" s="16">
        <f>IF(COUNT(F7:F41) &gt; 0, SQRT(SUMSQ(F7:F41)/(COUNT(F7:F41)*COUNT(F7:F41)) ), "—")</f>
        <v>0.33354550045212439</v>
      </c>
      <c r="G42" s="14">
        <f>IF(COUNT(G7:G41) &gt; 0, AVERAGE(G7:G41), "—")</f>
        <v>19.894789349062499</v>
      </c>
      <c r="H42" s="16">
        <f>IF(COUNT(H7:H41) &gt; 0, SQRT(SUMSQ(H7:H41)/(COUNT(H7:H41)*COUNT(H7:H41)) ), "—")</f>
        <v>0.33354550045212439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81.178190459999996</v>
      </c>
      <c r="F46" s="16">
        <v>1.6815243499999999</v>
      </c>
      <c r="G46" s="14">
        <v>18.82180954</v>
      </c>
      <c r="H46" s="16">
        <v>1.6815243499999999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79.394929899999994</v>
      </c>
      <c r="F47" s="16">
        <v>1.75983953</v>
      </c>
      <c r="G47" s="14">
        <v>20.605070099999999</v>
      </c>
      <c r="H47" s="16">
        <v>1.75983953</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80.427193729999999</v>
      </c>
      <c r="F48" s="16">
        <v>1.7437292200000001</v>
      </c>
      <c r="G48" s="14">
        <v>19.572806270000001</v>
      </c>
      <c r="H48" s="16">
        <v>1.7437292200000001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83.585631899999996</v>
      </c>
      <c r="F50" s="16">
        <v>1.52281398</v>
      </c>
      <c r="G50" s="14">
        <v>16.414368100000001</v>
      </c>
      <c r="H50" s="16">
        <v>1.52281398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81.505502449999994</v>
      </c>
      <c r="F51" s="16">
        <v>1.7014812800000001</v>
      </c>
      <c r="G51" s="14">
        <v>18.494497549999998</v>
      </c>
      <c r="H51" s="16">
        <v>1.7014812800000001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83.334368100000006</v>
      </c>
      <c r="F52" s="16">
        <v>1.7937184399999999</v>
      </c>
      <c r="G52" s="14">
        <v>16.665631900000001</v>
      </c>
      <c r="H52" s="16">
        <v>1.7937184399999999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79.160121079999996</v>
      </c>
      <c r="F53" s="16">
        <v>1.86119211</v>
      </c>
      <c r="G53" s="14">
        <v>20.83987892</v>
      </c>
      <c r="H53" s="16">
        <v>1.86119211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82.430007840000002</v>
      </c>
      <c r="F56" s="16">
        <v>2.0683907600000002</v>
      </c>
      <c r="G56" s="14">
        <v>17.569992160000002</v>
      </c>
      <c r="H56" s="16">
        <v>2.0683907600000002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81.218657800000003</v>
      </c>
      <c r="F61" s="16">
        <v>1.8271419200000001</v>
      </c>
      <c r="G61" s="14">
        <v>18.781342200000001</v>
      </c>
      <c r="H61" s="16">
        <v>1.8271419200000001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81.167317030000007</v>
      </c>
      <c r="F62" s="16">
        <v>2.0822753600000001</v>
      </c>
      <c r="G62" s="14">
        <v>18.83268297</v>
      </c>
      <c r="H62" s="16">
        <v>2.0822753600000001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84.192152800000002</v>
      </c>
      <c r="F66" s="16">
        <v>1.59458378</v>
      </c>
      <c r="G66" s="14">
        <v>15.807847199999999</v>
      </c>
      <c r="H66" s="16">
        <v>1.59458378</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80.087206589999994</v>
      </c>
      <c r="F67" s="16">
        <v>2.0043464700000002</v>
      </c>
      <c r="G67" s="14">
        <v>19.912793409999999</v>
      </c>
      <c r="H67" s="16">
        <v>2.0043464700000002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84.257344779999997</v>
      </c>
      <c r="F70" s="16">
        <v>1.8727485399999999</v>
      </c>
      <c r="G70" s="14">
        <v>15.74265522</v>
      </c>
      <c r="H70" s="16">
        <v>1.8727485399999999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80.218293110000005</v>
      </c>
      <c r="F72" s="16">
        <v>1.40915462</v>
      </c>
      <c r="G72" s="14">
        <v>19.781706889999999</v>
      </c>
      <c r="H72" s="16">
        <v>1.40915462</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68.024735719999995</v>
      </c>
      <c r="F73" s="16">
        <v>2.02335501</v>
      </c>
      <c r="G73" s="14">
        <v>31.975264280000001</v>
      </c>
      <c r="H73" s="16">
        <v>2.02335501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75.188361810000004</v>
      </c>
      <c r="F75" s="16">
        <v>2.6536583199999999</v>
      </c>
      <c r="G75" s="14">
        <v>24.81163819</v>
      </c>
      <c r="H75" s="16">
        <v>2.6536583199999999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79.616395780000005</v>
      </c>
      <c r="F76" s="16">
        <v>1.6042982699999999</v>
      </c>
      <c r="G76" s="14">
        <v>20.383604219999999</v>
      </c>
      <c r="H76" s="16">
        <v>1.6042982699999999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84.992204869999995</v>
      </c>
      <c r="F77" s="16">
        <v>1.62926083</v>
      </c>
      <c r="G77" s="14">
        <v>15.00779513</v>
      </c>
      <c r="H77" s="16">
        <v>1.62926083</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75.350447259999996</v>
      </c>
      <c r="F81" s="16">
        <v>2.1229816700000002</v>
      </c>
      <c r="G81" s="14">
        <v>24.649552740000001</v>
      </c>
      <c r="H81" s="16">
        <v>2.1229816700000002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56.276271029999997</v>
      </c>
      <c r="F7" s="16">
        <v>1.7180520100000001</v>
      </c>
      <c r="G7" s="14">
        <v>43.723728970000003</v>
      </c>
      <c r="H7" s="16">
        <v>1.7180520100000001</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66.87729487</v>
      </c>
      <c r="F8" s="16">
        <v>1.9685096500000001</v>
      </c>
      <c r="G8" s="14">
        <v>33.12270513</v>
      </c>
      <c r="H8" s="16">
        <v>1.9685096500000001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69.113193499999994</v>
      </c>
      <c r="F9" s="16">
        <v>1.72830409</v>
      </c>
      <c r="G9" s="14">
        <v>30.886806499999999</v>
      </c>
      <c r="H9" s="16">
        <v>1.72830409</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59.10536381</v>
      </c>
      <c r="F10" s="16">
        <v>1.71863403</v>
      </c>
      <c r="G10" s="14">
        <v>40.89463619</v>
      </c>
      <c r="H10" s="16">
        <v>1.71863403</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70.436460479999994</v>
      </c>
      <c r="F11" s="16">
        <v>2.4265175600000002</v>
      </c>
      <c r="G11" s="14">
        <v>29.563539519999999</v>
      </c>
      <c r="H11" s="16">
        <v>2.4265175600000002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68.825049100000001</v>
      </c>
      <c r="F12" s="16">
        <v>2.3470630400000001</v>
      </c>
      <c r="G12" s="14">
        <v>31.174950899999999</v>
      </c>
      <c r="H12" s="16">
        <v>2.3470630400000001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60.002739069999997</v>
      </c>
      <c r="F13" s="16">
        <v>2.4337788599999999</v>
      </c>
      <c r="G13" s="14">
        <v>39.997260930000003</v>
      </c>
      <c r="H13" s="16">
        <v>2.4337788599999999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59.995384569999999</v>
      </c>
      <c r="F14" s="16">
        <v>2.4352608899999999</v>
      </c>
      <c r="G14" s="14">
        <v>40.004615430000001</v>
      </c>
      <c r="H14" s="16">
        <v>2.4352608899999999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59.232243539999999</v>
      </c>
      <c r="F15" s="16">
        <v>2.0112653900000002</v>
      </c>
      <c r="G15" s="14">
        <v>40.767756460000001</v>
      </c>
      <c r="H15" s="16">
        <v>2.0112653900000002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72.195302470000001</v>
      </c>
      <c r="F16" s="16">
        <v>1.9026862200000001</v>
      </c>
      <c r="G16" s="14">
        <v>27.804697529999999</v>
      </c>
      <c r="H16" s="16">
        <v>1.9026862200000001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69.243124899999998</v>
      </c>
      <c r="F17" s="16">
        <v>2.07313905</v>
      </c>
      <c r="G17" s="14">
        <v>30.756875099999998</v>
      </c>
      <c r="H17" s="16">
        <v>2.07313905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69.171066719999999</v>
      </c>
      <c r="F18" s="16">
        <v>2.4069498600000001</v>
      </c>
      <c r="G18" s="14">
        <v>30.828933280000001</v>
      </c>
      <c r="H18" s="16">
        <v>2.4069498600000001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58.875686430000002</v>
      </c>
      <c r="F19" s="16">
        <v>2.4728198199999998</v>
      </c>
      <c r="G19" s="14">
        <v>41.124313569999998</v>
      </c>
      <c r="H19" s="16">
        <v>2.4728198199999998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71.098218279999998</v>
      </c>
      <c r="F20" s="16">
        <v>2.6101317100000001</v>
      </c>
      <c r="G20" s="14">
        <v>28.901781719999999</v>
      </c>
      <c r="H20" s="16">
        <v>2.6101317100000001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66.036055430000005</v>
      </c>
      <c r="F22" s="16">
        <v>1.9817180700000001</v>
      </c>
      <c r="G22" s="14">
        <v>33.963944570000002</v>
      </c>
      <c r="H22" s="16">
        <v>1.9817180700000001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65.028195609999997</v>
      </c>
      <c r="F23" s="16">
        <v>1.99059144</v>
      </c>
      <c r="G23" s="14">
        <v>34.971804390000003</v>
      </c>
      <c r="H23" s="16">
        <v>1.99059144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57.719441580000002</v>
      </c>
      <c r="F24" s="16">
        <v>2.04030742</v>
      </c>
      <c r="G24" s="14">
        <v>42.280558419999998</v>
      </c>
      <c r="H24" s="16">
        <v>2.04030742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70.256492469999998</v>
      </c>
      <c r="F25" s="16">
        <v>2.1906431500000001</v>
      </c>
      <c r="G25" s="14">
        <v>29.743507529999999</v>
      </c>
      <c r="H25" s="16">
        <v>2.1906431500000001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61.154238429999999</v>
      </c>
      <c r="F26" s="16">
        <v>2.67411697</v>
      </c>
      <c r="G26" s="14">
        <v>38.845761570000001</v>
      </c>
      <c r="H26" s="16">
        <v>2.67411697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69.386867809999998</v>
      </c>
      <c r="F27" s="16">
        <v>2.1483215499999999</v>
      </c>
      <c r="G27" s="14">
        <v>30.613132190000002</v>
      </c>
      <c r="H27" s="16">
        <v>2.1483215499999999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49.92066492</v>
      </c>
      <c r="F28" s="16">
        <v>2.3676084899999998</v>
      </c>
      <c r="G28" s="14">
        <v>50.07933508</v>
      </c>
      <c r="H28" s="16">
        <v>2.3676084899999998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78.654040820000006</v>
      </c>
      <c r="F29" s="16">
        <v>2.0816857199999999</v>
      </c>
      <c r="G29" s="14">
        <v>21.345959180000001</v>
      </c>
      <c r="H29" s="16">
        <v>2.0816857199999999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56.275693459999999</v>
      </c>
      <c r="F30" s="16">
        <v>2.8117965300000001</v>
      </c>
      <c r="G30" s="14">
        <v>43.724306540000001</v>
      </c>
      <c r="H30" s="16">
        <v>2.8117965300000001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57.98458617</v>
      </c>
      <c r="F31" s="16">
        <v>2.1318995100000002</v>
      </c>
      <c r="G31" s="14">
        <v>42.01541383</v>
      </c>
      <c r="H31" s="16">
        <v>2.1318995100000002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66.604466099999996</v>
      </c>
      <c r="F33" s="16">
        <v>1.9769645300000001</v>
      </c>
      <c r="G33" s="14">
        <v>33.395533899999997</v>
      </c>
      <c r="H33" s="16">
        <v>1.9769645300000001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73.646315369999996</v>
      </c>
      <c r="F34" s="16">
        <v>2.0905686000000001</v>
      </c>
      <c r="G34" s="14">
        <v>26.35368463</v>
      </c>
      <c r="H34" s="16">
        <v>2.0905686000000001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69.469613210000006</v>
      </c>
      <c r="F35" s="16">
        <v>2.2989093600000001</v>
      </c>
      <c r="G35" s="14">
        <v>30.530386790000001</v>
      </c>
      <c r="H35" s="16">
        <v>2.2989093600000001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71.158287169999994</v>
      </c>
      <c r="F36" s="16">
        <v>1.54503681</v>
      </c>
      <c r="G36" s="14">
        <v>28.841712829999999</v>
      </c>
      <c r="H36" s="16">
        <v>1.54503681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73.295924790000001</v>
      </c>
      <c r="F37" s="16">
        <v>2.47441355</v>
      </c>
      <c r="G37" s="14">
        <v>26.704075209999999</v>
      </c>
      <c r="H37" s="16">
        <v>2.47441355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(5988/B40*100)</f>
        <v>82.764340013821709</v>
      </c>
      <c r="D40" s="15">
        <v>1247</v>
      </c>
      <c r="E40" s="14">
        <v>56.705310109999999</v>
      </c>
      <c r="F40" s="16">
        <v>2.1003496899999998</v>
      </c>
      <c r="G40" s="14">
        <v>43.294689890000001</v>
      </c>
      <c r="H40" s="16">
        <v>2.1003496899999998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54.873323669999998</v>
      </c>
      <c r="F41" s="16">
        <v>2.5109080399999999</v>
      </c>
      <c r="G41" s="14">
        <v>45.126676330000002</v>
      </c>
      <c r="H41" s="16">
        <v>2.5109080399999999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62.769278621562506</v>
      </c>
      <c r="F42" s="16">
        <f>IF(COUNT(F7:F41) &gt; 0, SQRT(SUMSQ(F7:F41)/(COUNT(F7:F41)*COUNT(F7:F41)) ), "—")</f>
        <v>0.38337002743979831</v>
      </c>
      <c r="G42" s="14">
        <f>IF(COUNT(G7:G41) &gt; 0, AVERAGE(G7:G41), "—")</f>
        <v>34.105721378437508</v>
      </c>
      <c r="H42" s="16">
        <f>IF(COUNT(H7:H41) &gt; 0, SQRT(SUMSQ(H7:H41)/(COUNT(H7:H41)*COUNT(H7:H41)) ), "—")</f>
        <v>0.38337002743979831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78.477381800000003</v>
      </c>
      <c r="F46" s="16">
        <v>1.60631294</v>
      </c>
      <c r="G46" s="14">
        <v>21.5226182</v>
      </c>
      <c r="H46" s="16">
        <v>1.60631294</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75.10214852</v>
      </c>
      <c r="F47" s="16">
        <v>1.81785755</v>
      </c>
      <c r="G47" s="14">
        <v>24.89785148</v>
      </c>
      <c r="H47" s="16">
        <v>1.81785755</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83.360086920000001</v>
      </c>
      <c r="F48" s="16">
        <v>1.36933686</v>
      </c>
      <c r="G48" s="14">
        <v>16.639913079999999</v>
      </c>
      <c r="H48" s="16">
        <v>1.36933686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65.964639539999993</v>
      </c>
      <c r="F50" s="16">
        <v>2.0368608699999999</v>
      </c>
      <c r="G50" s="14">
        <v>34.03536046</v>
      </c>
      <c r="H50" s="16">
        <v>2.0368608699999999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74.771636880000003</v>
      </c>
      <c r="F51" s="16">
        <v>1.89120829</v>
      </c>
      <c r="G51" s="14">
        <v>25.228363120000001</v>
      </c>
      <c r="H51" s="16">
        <v>1.89120829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71.118465009999994</v>
      </c>
      <c r="F52" s="16">
        <v>1.9756419999999999</v>
      </c>
      <c r="G52" s="14">
        <v>28.881534989999999</v>
      </c>
      <c r="H52" s="16">
        <v>1.9756419999999999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69.199283629999996</v>
      </c>
      <c r="F53" s="16">
        <v>2.2051591199999998</v>
      </c>
      <c r="G53" s="14">
        <v>30.80071637</v>
      </c>
      <c r="H53" s="16">
        <v>2.2051591199999998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76.998426899999998</v>
      </c>
      <c r="F56" s="16">
        <v>2.62732375</v>
      </c>
      <c r="G56" s="14">
        <v>23.001573100000002</v>
      </c>
      <c r="H56" s="16">
        <v>2.62732375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68.067083620000005</v>
      </c>
      <c r="F61" s="16">
        <v>2.19705072</v>
      </c>
      <c r="G61" s="14">
        <v>31.932916380000002</v>
      </c>
      <c r="H61" s="16">
        <v>2.19705072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71.187042039999994</v>
      </c>
      <c r="F62" s="16">
        <v>2.3449283699999999</v>
      </c>
      <c r="G62" s="14">
        <v>28.812957959999999</v>
      </c>
      <c r="H62" s="16">
        <v>2.3449283699999999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69.247669759999994</v>
      </c>
      <c r="F66" s="16">
        <v>1.9168469299999999</v>
      </c>
      <c r="G66" s="14">
        <v>30.752330239999999</v>
      </c>
      <c r="H66" s="16">
        <v>1.9168469299999999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63.183613909999998</v>
      </c>
      <c r="F67" s="16">
        <v>2.2375379099999999</v>
      </c>
      <c r="G67" s="14">
        <v>36.816386090000002</v>
      </c>
      <c r="H67" s="16">
        <v>2.2375379099999999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57.919828340000002</v>
      </c>
      <c r="F70" s="16">
        <v>2.4171258999999998</v>
      </c>
      <c r="G70" s="14">
        <v>42.080171659999998</v>
      </c>
      <c r="H70" s="16">
        <v>2.4171258999999998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52.3831244</v>
      </c>
      <c r="F72" s="16">
        <v>2.25204139</v>
      </c>
      <c r="G72" s="14">
        <v>47.6168756</v>
      </c>
      <c r="H72" s="16">
        <v>2.25204139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71.230720820000002</v>
      </c>
      <c r="F73" s="16">
        <v>1.94907611</v>
      </c>
      <c r="G73" s="14">
        <v>28.769279180000002</v>
      </c>
      <c r="H73" s="16">
        <v>1.94907611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69.447234480000006</v>
      </c>
      <c r="F75" s="16">
        <v>2.7664639700000002</v>
      </c>
      <c r="G75" s="14">
        <v>30.552765520000001</v>
      </c>
      <c r="H75" s="16">
        <v>2.7664639700000002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68.481862789999994</v>
      </c>
      <c r="F76" s="16">
        <v>1.62427466</v>
      </c>
      <c r="G76" s="14">
        <v>31.518137209999999</v>
      </c>
      <c r="H76" s="16">
        <v>1.62427466</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69.294223590000001</v>
      </c>
      <c r="F77" s="16">
        <v>2.1138265399999998</v>
      </c>
      <c r="G77" s="14">
        <v>30.705776409999999</v>
      </c>
      <c r="H77" s="16">
        <v>2.1138265399999998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10.469759379999999</v>
      </c>
      <c r="F81" s="16">
        <v>1.4594009699999999</v>
      </c>
      <c r="G81" s="14">
        <v>9.0799638100000006</v>
      </c>
      <c r="H81" s="16">
        <v>1.83912729</v>
      </c>
      <c r="I81" s="14" t="s">
        <v>139</v>
      </c>
      <c r="J81" s="16" t="s">
        <v>139</v>
      </c>
      <c r="K81" s="14">
        <v>0</v>
      </c>
      <c r="L81" s="16">
        <v>0</v>
      </c>
      <c r="M81" s="14">
        <v>80.450276799999997</v>
      </c>
      <c r="N81" s="16">
        <v>2.6177215700000001</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59.410848790000003</v>
      </c>
      <c r="F7" s="16">
        <v>1.5480970999999999</v>
      </c>
      <c r="G7" s="14">
        <v>40.589151209999997</v>
      </c>
      <c r="H7" s="16">
        <v>1.5480970999999999</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69.095275270000002</v>
      </c>
      <c r="F8" s="16">
        <v>2.1532881100000001</v>
      </c>
      <c r="G8" s="14">
        <v>30.904724730000002</v>
      </c>
      <c r="H8" s="16">
        <v>2.1532881100000001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63.324986299999999</v>
      </c>
      <c r="F9" s="16">
        <v>1.99527991</v>
      </c>
      <c r="G9" s="14">
        <v>36.675013700000001</v>
      </c>
      <c r="H9" s="16">
        <v>1.99527991</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52.814506379999997</v>
      </c>
      <c r="F10" s="16">
        <v>1.5412505700000001</v>
      </c>
      <c r="G10" s="14">
        <v>47.185493620000003</v>
      </c>
      <c r="H10" s="16">
        <v>1.5412505700000001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70.703368879999999</v>
      </c>
      <c r="F11" s="16">
        <v>1.96032173</v>
      </c>
      <c r="G11" s="14">
        <v>29.296631120000001</v>
      </c>
      <c r="H11" s="16">
        <v>1.96032173</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60.287938439999998</v>
      </c>
      <c r="F12" s="16">
        <v>2.4477574299999998</v>
      </c>
      <c r="G12" s="14">
        <v>39.712061560000002</v>
      </c>
      <c r="H12" s="16">
        <v>2.4477574299999998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60.924534530000003</v>
      </c>
      <c r="F13" s="16">
        <v>2.6428627800000002</v>
      </c>
      <c r="G13" s="14">
        <v>39.075465469999997</v>
      </c>
      <c r="H13" s="16">
        <v>2.6428627800000002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56.782289030000001</v>
      </c>
      <c r="F14" s="16">
        <v>2.4579162000000001</v>
      </c>
      <c r="G14" s="14">
        <v>43.217710969999999</v>
      </c>
      <c r="H14" s="16">
        <v>2.4579162000000001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61.13932329</v>
      </c>
      <c r="F15" s="16">
        <v>1.98269641</v>
      </c>
      <c r="G15" s="14">
        <v>38.86067671</v>
      </c>
      <c r="H15" s="16">
        <v>1.98269641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66.366140950000002</v>
      </c>
      <c r="F16" s="16">
        <v>2.2405166400000001</v>
      </c>
      <c r="G16" s="14">
        <v>33.633859049999998</v>
      </c>
      <c r="H16" s="16">
        <v>2.2405166400000001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60.192048800000002</v>
      </c>
      <c r="F17" s="16">
        <v>2.2757309299999999</v>
      </c>
      <c r="G17" s="14">
        <v>39.807951199999998</v>
      </c>
      <c r="H17" s="16">
        <v>2.2757309299999999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70.891681019999993</v>
      </c>
      <c r="F18" s="16">
        <v>2.06411655</v>
      </c>
      <c r="G18" s="14">
        <v>29.10831898</v>
      </c>
      <c r="H18" s="16">
        <v>2.06411655</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66.958504059999996</v>
      </c>
      <c r="F19" s="16">
        <v>2.34164204</v>
      </c>
      <c r="G19" s="14">
        <v>33.041495939999997</v>
      </c>
      <c r="H19" s="16">
        <v>2.34164204</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63.092981350000002</v>
      </c>
      <c r="F20" s="16">
        <v>3.1109598200000002</v>
      </c>
      <c r="G20" s="14">
        <v>36.907018649999998</v>
      </c>
      <c r="H20" s="16">
        <v>3.1109598200000002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65.253070989999998</v>
      </c>
      <c r="F22" s="16">
        <v>2.2255554900000001</v>
      </c>
      <c r="G22" s="14">
        <v>34.746929010000002</v>
      </c>
      <c r="H22" s="16">
        <v>2.2255554900000001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70.307264189999998</v>
      </c>
      <c r="F23" s="16">
        <v>2.10252945</v>
      </c>
      <c r="G23" s="14">
        <v>29.692735809999999</v>
      </c>
      <c r="H23" s="16">
        <v>2.10252945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54.073234329999998</v>
      </c>
      <c r="F24" s="16">
        <v>1.95832403</v>
      </c>
      <c r="G24" s="14">
        <v>45.926765670000002</v>
      </c>
      <c r="H24" s="16">
        <v>1.95832403</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66.850549799999996</v>
      </c>
      <c r="F25" s="16">
        <v>2.18846344</v>
      </c>
      <c r="G25" s="14">
        <v>33.149450199999997</v>
      </c>
      <c r="H25" s="16">
        <v>2.18846344</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65.82813118</v>
      </c>
      <c r="F26" s="16">
        <v>2.5314380000000001</v>
      </c>
      <c r="G26" s="14">
        <v>34.17186882</v>
      </c>
      <c r="H26" s="16">
        <v>2.5314380000000001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69.002856800000004</v>
      </c>
      <c r="F27" s="16">
        <v>2.1852780900000002</v>
      </c>
      <c r="G27" s="14">
        <v>30.9971432</v>
      </c>
      <c r="H27" s="16">
        <v>2.1852780900000002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70.96120526</v>
      </c>
      <c r="F28" s="16">
        <v>2.1657008200000001</v>
      </c>
      <c r="G28" s="14">
        <v>29.03879474</v>
      </c>
      <c r="H28" s="16">
        <v>2.1657008200000001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65.405324230000005</v>
      </c>
      <c r="F29" s="16">
        <v>2.0245909000000002</v>
      </c>
      <c r="G29" s="14">
        <v>34.594675770000002</v>
      </c>
      <c r="H29" s="16">
        <v>2.0245909000000002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58.84501813</v>
      </c>
      <c r="F30" s="16">
        <v>2.1833343900000002</v>
      </c>
      <c r="G30" s="14">
        <v>41.15498187</v>
      </c>
      <c r="H30" s="16">
        <v>2.1833343900000002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67.797972439999995</v>
      </c>
      <c r="F31" s="16">
        <v>2.7565375599999999</v>
      </c>
      <c r="G31" s="14">
        <v>32.202027559999998</v>
      </c>
      <c r="H31" s="16">
        <v>2.7565375599999999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67.019048929999997</v>
      </c>
      <c r="F33" s="16">
        <v>2.5806175800000002</v>
      </c>
      <c r="G33" s="14">
        <v>32.980951070000003</v>
      </c>
      <c r="H33" s="16">
        <v>2.5806175800000002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73.861654090000002</v>
      </c>
      <c r="F34" s="16">
        <v>1.92748915</v>
      </c>
      <c r="G34" s="14">
        <v>26.138345910000002</v>
      </c>
      <c r="H34" s="16">
        <v>1.92748915</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64.971340960000006</v>
      </c>
      <c r="F35" s="16">
        <v>2.5470641299999999</v>
      </c>
      <c r="G35" s="14">
        <v>35.028659040000001</v>
      </c>
      <c r="H35" s="16">
        <v>2.5470641299999999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63.002227040000001</v>
      </c>
      <c r="F36" s="16">
        <v>2.4782116599999999</v>
      </c>
      <c r="G36" s="14">
        <v>36.997772959999999</v>
      </c>
      <c r="H36" s="16">
        <v>2.4782116599999999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69.268501929999999</v>
      </c>
      <c r="F37" s="16">
        <v>2.1452160999999998</v>
      </c>
      <c r="G37" s="14">
        <v>30.731498070000001</v>
      </c>
      <c r="H37" s="16">
        <v>2.1452160999999998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83.831348070000004</v>
      </c>
      <c r="F39" s="16">
        <v>1.65252069</v>
      </c>
      <c r="G39" s="14">
        <v>16.168651929999999</v>
      </c>
      <c r="H39" s="16">
        <v>1.65252069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56.411912289999997</v>
      </c>
      <c r="F40" s="16">
        <v>2.4184696200000002</v>
      </c>
      <c r="G40" s="14">
        <v>43.588087710000003</v>
      </c>
      <c r="H40" s="16">
        <v>2.4184696200000002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56.920156149999997</v>
      </c>
      <c r="F41" s="16">
        <v>2.2783810199999999</v>
      </c>
      <c r="G41" s="14">
        <v>43.079843850000003</v>
      </c>
      <c r="H41" s="16">
        <v>2.2783810199999999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64.737351371874993</v>
      </c>
      <c r="F42" s="16">
        <f>IF(COUNT(F7:F41) &gt; 0, SQRT(SUMSQ(F7:F41)/(COUNT(F7:F41)*COUNT(F7:F41)) ), "—")</f>
        <v>0.39715206868076186</v>
      </c>
      <c r="G42" s="14">
        <f>IF(COUNT(G7:G41) &gt; 0, AVERAGE(G7:G41), "—")</f>
        <v>35.262648628125</v>
      </c>
      <c r="H42" s="16">
        <f>IF(COUNT(H7:H41) &gt; 0, SQRT(SUMSQ(H7:H41)/(COUNT(H7:H41)*COUNT(H7:H41)) ), "—")</f>
        <v>0.39715206868076186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78.117183600000004</v>
      </c>
      <c r="F46" s="16">
        <v>1.4446678500000001</v>
      </c>
      <c r="G46" s="14">
        <v>21.882816399999999</v>
      </c>
      <c r="H46" s="16">
        <v>1.4446678500000001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72.552883370000004</v>
      </c>
      <c r="F47" s="16">
        <v>2.11071089</v>
      </c>
      <c r="G47" s="14">
        <v>27.44711663</v>
      </c>
      <c r="H47" s="16">
        <v>2.11071089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62.527202690000003</v>
      </c>
      <c r="F48" s="16">
        <v>2.1850002499999999</v>
      </c>
      <c r="G48" s="14">
        <v>37.472797309999997</v>
      </c>
      <c r="H48" s="16">
        <v>2.1850002499999999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78.684334519999993</v>
      </c>
      <c r="F50" s="16">
        <v>1.7939559899999999</v>
      </c>
      <c r="G50" s="14">
        <v>21.31566548</v>
      </c>
      <c r="H50" s="16">
        <v>1.7939559899999999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69.241160859999994</v>
      </c>
      <c r="F51" s="16">
        <v>2.4652998199999998</v>
      </c>
      <c r="G51" s="14">
        <v>30.758839139999999</v>
      </c>
      <c r="H51" s="16">
        <v>2.4652998199999998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72.750150210000001</v>
      </c>
      <c r="F52" s="16">
        <v>1.9509006099999999</v>
      </c>
      <c r="G52" s="14">
        <v>27.249849789999999</v>
      </c>
      <c r="H52" s="16">
        <v>1.9509006099999999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75.726816209999996</v>
      </c>
      <c r="F53" s="16">
        <v>2.0793974199999998</v>
      </c>
      <c r="G53" s="14">
        <v>24.273183790000001</v>
      </c>
      <c r="H53" s="16">
        <v>2.0793974199999998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49.416277710000003</v>
      </c>
      <c r="F56" s="16">
        <v>2.1733257099999999</v>
      </c>
      <c r="G56" s="14">
        <v>50.583722289999997</v>
      </c>
      <c r="H56" s="16">
        <v>2.1733257099999999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62.646031180000001</v>
      </c>
      <c r="F61" s="16">
        <v>2.1292500599999999</v>
      </c>
      <c r="G61" s="14">
        <v>37.353968819999999</v>
      </c>
      <c r="H61" s="16">
        <v>2.1292500599999999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51.908893149999997</v>
      </c>
      <c r="F62" s="16">
        <v>2.53153417</v>
      </c>
      <c r="G62" s="14">
        <v>48.091106850000003</v>
      </c>
      <c r="H62" s="16">
        <v>2.53153417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80.19884046</v>
      </c>
      <c r="F66" s="16">
        <v>1.9911352600000001</v>
      </c>
      <c r="G66" s="14">
        <v>19.80115954</v>
      </c>
      <c r="H66" s="16">
        <v>1.9911352600000001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75.526676370000004</v>
      </c>
      <c r="F67" s="16">
        <v>2.0795097199999999</v>
      </c>
      <c r="G67" s="14">
        <v>24.473323629999999</v>
      </c>
      <c r="H67" s="16">
        <v>2.0795097199999999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68.808074239999996</v>
      </c>
      <c r="F70" s="16">
        <v>2.2019720399999998</v>
      </c>
      <c r="G70" s="14">
        <v>31.19192576</v>
      </c>
      <c r="H70" s="16">
        <v>2.2019720399999998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64.110864090000007</v>
      </c>
      <c r="F72" s="16">
        <v>2.30476964</v>
      </c>
      <c r="G72" s="14">
        <v>35.88913591</v>
      </c>
      <c r="H72" s="16">
        <v>2.30476964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65.741344179999999</v>
      </c>
      <c r="F73" s="16">
        <v>2.6120845099999999</v>
      </c>
      <c r="G73" s="14">
        <v>34.258655820000001</v>
      </c>
      <c r="H73" s="16">
        <v>2.6120845099999999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75.703176560000003</v>
      </c>
      <c r="F75" s="16">
        <v>2.5673229599999998</v>
      </c>
      <c r="G75" s="14">
        <v>24.296823440000001</v>
      </c>
      <c r="H75" s="16">
        <v>2.5673229599999998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75.126133479999993</v>
      </c>
      <c r="F76" s="16">
        <v>1.4686986399999999</v>
      </c>
      <c r="G76" s="14">
        <v>24.87386652</v>
      </c>
      <c r="H76" s="16">
        <v>1.4686986399999999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77.785699640000004</v>
      </c>
      <c r="F77" s="16">
        <v>2.29062937</v>
      </c>
      <c r="G77" s="14">
        <v>22.214300359999999</v>
      </c>
      <c r="H77" s="16">
        <v>2.29062937</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68.279191359999999</v>
      </c>
      <c r="F81" s="16">
        <v>2.4904280700000001</v>
      </c>
      <c r="G81" s="14">
        <v>31.720808640000001</v>
      </c>
      <c r="H81" s="16">
        <v>2.4904280700000001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36.811661180000002</v>
      </c>
      <c r="F7" s="16">
        <v>1.6437971</v>
      </c>
      <c r="G7" s="14">
        <v>63.188338819999998</v>
      </c>
      <c r="H7" s="16">
        <v>1.6437971</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45.999426990000003</v>
      </c>
      <c r="F8" s="16">
        <v>2.4340610300000001</v>
      </c>
      <c r="G8" s="14">
        <v>54.000573009999997</v>
      </c>
      <c r="H8" s="16">
        <v>2.4340610300000001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42.096133909999999</v>
      </c>
      <c r="F9" s="16">
        <v>1.8899216999999999</v>
      </c>
      <c r="G9" s="14">
        <v>57.903866090000001</v>
      </c>
      <c r="H9" s="16">
        <v>1.8899216999999999</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37.212203600000002</v>
      </c>
      <c r="F10" s="16">
        <v>1.4673792699999999</v>
      </c>
      <c r="G10" s="14">
        <v>62.787796399999998</v>
      </c>
      <c r="H10" s="16">
        <v>1.4673792699999999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44.373949959999997</v>
      </c>
      <c r="F11" s="16">
        <v>2.4888758000000002</v>
      </c>
      <c r="G11" s="14">
        <v>55.626050040000003</v>
      </c>
      <c r="H11" s="16">
        <v>2.4888758000000002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42.398629200000002</v>
      </c>
      <c r="F12" s="16">
        <v>2.8416640100000001</v>
      </c>
      <c r="G12" s="14">
        <v>57.601370799999998</v>
      </c>
      <c r="H12" s="16">
        <v>2.8416640100000001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35.272673570000002</v>
      </c>
      <c r="F13" s="16">
        <v>2.3174869400000002</v>
      </c>
      <c r="G13" s="14">
        <v>64.727326430000005</v>
      </c>
      <c r="H13" s="16">
        <v>2.3174869400000002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43.075866419999997</v>
      </c>
      <c r="F14" s="16">
        <v>2.4879895300000001</v>
      </c>
      <c r="G14" s="14">
        <v>56.924133580000003</v>
      </c>
      <c r="H14" s="16">
        <v>2.4879895300000001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39.926181100000001</v>
      </c>
      <c r="F15" s="16">
        <v>2.22412725</v>
      </c>
      <c r="G15" s="14">
        <v>60.073818899999999</v>
      </c>
      <c r="H15" s="16">
        <v>2.22412725</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45.307719229999996</v>
      </c>
      <c r="F16" s="16">
        <v>2.1437349399999999</v>
      </c>
      <c r="G16" s="14">
        <v>54.692280770000004</v>
      </c>
      <c r="H16" s="16">
        <v>2.1437349399999999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38.52203995</v>
      </c>
      <c r="F17" s="16">
        <v>2.11730931</v>
      </c>
      <c r="G17" s="14">
        <v>61.47796005</v>
      </c>
      <c r="H17" s="16">
        <v>2.11730931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61.473422139999997</v>
      </c>
      <c r="F18" s="16">
        <v>2.4783939500000001</v>
      </c>
      <c r="G18" s="14">
        <v>38.526577860000003</v>
      </c>
      <c r="H18" s="16">
        <v>2.4783939500000001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60.49441393</v>
      </c>
      <c r="F19" s="16">
        <v>2.1705292900000002</v>
      </c>
      <c r="G19" s="14">
        <v>39.50558607</v>
      </c>
      <c r="H19" s="16">
        <v>2.1705292900000002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43.940582650000003</v>
      </c>
      <c r="F20" s="16">
        <v>3.12655452</v>
      </c>
      <c r="G20" s="14">
        <v>56.059417349999997</v>
      </c>
      <c r="H20" s="16">
        <v>3.12655452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49.297107240000003</v>
      </c>
      <c r="F22" s="16">
        <v>2.48544236</v>
      </c>
      <c r="G22" s="14">
        <v>50.702892759999997</v>
      </c>
      <c r="H22" s="16">
        <v>2.48544236</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47.320336699999999</v>
      </c>
      <c r="F23" s="16">
        <v>2.4819225399999998</v>
      </c>
      <c r="G23" s="14">
        <v>52.679663300000001</v>
      </c>
      <c r="H23" s="16">
        <v>2.4819225399999998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27.330495450000001</v>
      </c>
      <c r="F24" s="16">
        <v>1.9962113399999999</v>
      </c>
      <c r="G24" s="14">
        <v>72.669504549999999</v>
      </c>
      <c r="H24" s="16">
        <v>1.9962113399999999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33.638571280000001</v>
      </c>
      <c r="F25" s="16">
        <v>2.46651657</v>
      </c>
      <c r="G25" s="14">
        <v>66.361428720000006</v>
      </c>
      <c r="H25" s="16">
        <v>2.46651657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57.021601990000001</v>
      </c>
      <c r="F26" s="16">
        <v>2.6315992499999998</v>
      </c>
      <c r="G26" s="14">
        <v>42.978398009999999</v>
      </c>
      <c r="H26" s="16">
        <v>2.6315992499999998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48.990118580000001</v>
      </c>
      <c r="F27" s="16">
        <v>2.2676919099999999</v>
      </c>
      <c r="G27" s="14">
        <v>51.009881419999999</v>
      </c>
      <c r="H27" s="16">
        <v>2.2676919099999999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61.056675679999998</v>
      </c>
      <c r="F28" s="16">
        <v>2.0920891500000001</v>
      </c>
      <c r="G28" s="14">
        <v>38.943324320000002</v>
      </c>
      <c r="H28" s="16">
        <v>2.0920891500000001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41.906041559999998</v>
      </c>
      <c r="F29" s="16">
        <v>2.1157819600000001</v>
      </c>
      <c r="G29" s="14">
        <v>58.093958440000002</v>
      </c>
      <c r="H29" s="16">
        <v>2.1157819600000001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38.00555147</v>
      </c>
      <c r="F30" s="16">
        <v>2.3884655399999999</v>
      </c>
      <c r="G30" s="14">
        <v>61.99444853</v>
      </c>
      <c r="H30" s="16">
        <v>2.3884655399999999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40.510747670000001</v>
      </c>
      <c r="F31" s="16">
        <v>2.1054283200000001</v>
      </c>
      <c r="G31" s="14">
        <v>59.489252329999999</v>
      </c>
      <c r="H31" s="16">
        <v>2.1054283200000001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42.103713480000003</v>
      </c>
      <c r="F33" s="16">
        <v>2.5948697100000002</v>
      </c>
      <c r="G33" s="14">
        <v>57.896286519999997</v>
      </c>
      <c r="H33" s="16">
        <v>2.5948697100000002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51.444711679999998</v>
      </c>
      <c r="F34" s="16">
        <v>2.46757194</v>
      </c>
      <c r="G34" s="14">
        <v>48.555288320000002</v>
      </c>
      <c r="H34" s="16">
        <v>2.46757194</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43.645101160000003</v>
      </c>
      <c r="F35" s="16">
        <v>2.7534860600000002</v>
      </c>
      <c r="G35" s="14">
        <v>56.354898839999997</v>
      </c>
      <c r="H35" s="16">
        <v>2.7534860600000002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39.101122709999999</v>
      </c>
      <c r="F36" s="16">
        <v>2.26127207</v>
      </c>
      <c r="G36" s="14">
        <v>60.898877290000001</v>
      </c>
      <c r="H36" s="16">
        <v>2.26127207</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50.647236390000003</v>
      </c>
      <c r="F37" s="16">
        <v>2.7265527600000001</v>
      </c>
      <c r="G37" s="14">
        <v>49.352763609999997</v>
      </c>
      <c r="H37" s="16">
        <v>2.7265527600000001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60.523724649999998</v>
      </c>
      <c r="F39" s="16">
        <v>2.5669495800000002</v>
      </c>
      <c r="G39" s="14">
        <v>39.476275350000002</v>
      </c>
      <c r="H39" s="16">
        <v>2.5669495800000002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45.292819909999999</v>
      </c>
      <c r="F40" s="16">
        <v>2.32232672</v>
      </c>
      <c r="G40" s="14">
        <v>54.707180090000001</v>
      </c>
      <c r="H40" s="16">
        <v>2.32232672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36.68476828</v>
      </c>
      <c r="F41" s="16">
        <v>2.19083257</v>
      </c>
      <c r="G41" s="14">
        <v>63.31523172</v>
      </c>
      <c r="H41" s="16">
        <v>2.19083257</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44.732042178437496</v>
      </c>
      <c r="F42" s="16">
        <f>IF(COUNT(F7:F41) &gt; 0, SQRT(SUMSQ(F7:F41)/(COUNT(F7:F41)*COUNT(F7:F41)) ), "—")</f>
        <v>0.41696756881320401</v>
      </c>
      <c r="G42" s="14">
        <f>IF(COUNT(G7:G41) &gt; 0, AVERAGE(G7:G41), "—")</f>
        <v>55.267957821562511</v>
      </c>
      <c r="H42" s="16">
        <f>IF(COUNT(H7:H41) &gt; 0, SQRT(SUMSQ(H7:H41)/(COUNT(H7:H41)*COUNT(H7:H41)) ), "—")</f>
        <v>0.41696756881320401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60.469458539999998</v>
      </c>
      <c r="F46" s="16">
        <v>1.9533795199999999</v>
      </c>
      <c r="G46" s="14">
        <v>39.530541460000002</v>
      </c>
      <c r="H46" s="16">
        <v>1.9533795199999999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54.855980959999997</v>
      </c>
      <c r="F47" s="16">
        <v>2.41706741</v>
      </c>
      <c r="G47" s="14">
        <v>45.144019040000003</v>
      </c>
      <c r="H47" s="16">
        <v>2.41706741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42.34958855</v>
      </c>
      <c r="F48" s="16">
        <v>2.4977699000000002</v>
      </c>
      <c r="G48" s="14">
        <v>57.65041145</v>
      </c>
      <c r="H48" s="16">
        <v>2.4977699000000002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57.47757764</v>
      </c>
      <c r="F50" s="16">
        <v>2.0020949899999998</v>
      </c>
      <c r="G50" s="14">
        <v>42.52242236</v>
      </c>
      <c r="H50" s="16">
        <v>2.0020949899999998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49.557118680000002</v>
      </c>
      <c r="F51" s="16">
        <v>2.4844919700000001</v>
      </c>
      <c r="G51" s="14">
        <v>50.442881319999998</v>
      </c>
      <c r="H51" s="16">
        <v>2.4844919700000001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55.657365929999997</v>
      </c>
      <c r="F52" s="16">
        <v>2.2457530999999999</v>
      </c>
      <c r="G52" s="14">
        <v>44.342634070000003</v>
      </c>
      <c r="H52" s="16">
        <v>2.2457530999999999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58.829943919999998</v>
      </c>
      <c r="F53" s="16">
        <v>2.2611026399999998</v>
      </c>
      <c r="G53" s="14">
        <v>41.170056080000002</v>
      </c>
      <c r="H53" s="16">
        <v>2.2611026399999998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38.67950063</v>
      </c>
      <c r="F56" s="16">
        <v>2.67660199</v>
      </c>
      <c r="G56" s="14">
        <v>61.32049937</v>
      </c>
      <c r="H56" s="16">
        <v>2.67660199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51.121947820000003</v>
      </c>
      <c r="F61" s="16">
        <v>2.59591277</v>
      </c>
      <c r="G61" s="14">
        <v>48.878052179999997</v>
      </c>
      <c r="H61" s="16">
        <v>2.59591277</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46.379990370000002</v>
      </c>
      <c r="F62" s="16">
        <v>2.5659523900000001</v>
      </c>
      <c r="G62" s="14">
        <v>53.620009629999998</v>
      </c>
      <c r="H62" s="16">
        <v>2.5659523900000001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72.942381190000006</v>
      </c>
      <c r="F66" s="16">
        <v>2.2414811299999999</v>
      </c>
      <c r="G66" s="14">
        <v>27.057618810000001</v>
      </c>
      <c r="H66" s="16">
        <v>2.2414811299999999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58.343247660000003</v>
      </c>
      <c r="F67" s="16">
        <v>2.1808517100000002</v>
      </c>
      <c r="G67" s="14">
        <v>41.656752339999997</v>
      </c>
      <c r="H67" s="16">
        <v>2.1808517100000002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55.557977399999999</v>
      </c>
      <c r="F70" s="16">
        <v>2.5403770799999998</v>
      </c>
      <c r="G70" s="14">
        <v>44.442022600000001</v>
      </c>
      <c r="H70" s="16">
        <v>2.5403770799999998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38.608328759999999</v>
      </c>
      <c r="F72" s="16">
        <v>2.1651503299999999</v>
      </c>
      <c r="G72" s="14">
        <v>61.391671240000001</v>
      </c>
      <c r="H72" s="16">
        <v>2.1651503299999999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57.414754639999998</v>
      </c>
      <c r="F73" s="16">
        <v>2.5106224899999998</v>
      </c>
      <c r="G73" s="14">
        <v>42.585245360000002</v>
      </c>
      <c r="H73" s="16">
        <v>2.5106224899999998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66.751930759999993</v>
      </c>
      <c r="F75" s="16">
        <v>2.3901915599999999</v>
      </c>
      <c r="G75" s="14">
        <v>33.24806924</v>
      </c>
      <c r="H75" s="16">
        <v>2.3901915599999999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59.094907020000001</v>
      </c>
      <c r="F76" s="16">
        <v>1.4725457500000001</v>
      </c>
      <c r="G76" s="14">
        <v>40.905092979999999</v>
      </c>
      <c r="H76" s="16">
        <v>1.4725457500000001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54.778725340000001</v>
      </c>
      <c r="F77" s="16">
        <v>2.3232416300000001</v>
      </c>
      <c r="G77" s="14">
        <v>45.221274659999999</v>
      </c>
      <c r="H77" s="16">
        <v>2.3232416300000001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57.844407699999998</v>
      </c>
      <c r="F81" s="16">
        <v>2.4896760599999999</v>
      </c>
      <c r="G81" s="14">
        <v>42.155592300000002</v>
      </c>
      <c r="H81" s="16">
        <v>2.4896760599999999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22.314693900000002</v>
      </c>
      <c r="F7" s="16">
        <v>1.5117057199999999</v>
      </c>
      <c r="G7" s="14">
        <v>77.685306100000005</v>
      </c>
      <c r="H7" s="16">
        <v>1.5117057199999999</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35.43427337</v>
      </c>
      <c r="F8" s="16">
        <v>2.0485315499999999</v>
      </c>
      <c r="G8" s="14">
        <v>64.56572663</v>
      </c>
      <c r="H8" s="16">
        <v>2.0485315499999999</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34.78048811</v>
      </c>
      <c r="F9" s="16">
        <v>1.8991084899999999</v>
      </c>
      <c r="G9" s="14">
        <v>65.219511890000007</v>
      </c>
      <c r="H9" s="16">
        <v>1.8991084899999999</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23.506188699999999</v>
      </c>
      <c r="F10" s="16">
        <v>1.4440538599999999</v>
      </c>
      <c r="G10" s="14">
        <v>76.493811300000004</v>
      </c>
      <c r="H10" s="16">
        <v>1.4440538599999999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37.603397219999998</v>
      </c>
      <c r="F11" s="16">
        <v>2.7469598199999998</v>
      </c>
      <c r="G11" s="14">
        <v>62.396602780000002</v>
      </c>
      <c r="H11" s="16">
        <v>2.7469598199999998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34.858581110000003</v>
      </c>
      <c r="F12" s="16">
        <v>1.9549786600000001</v>
      </c>
      <c r="G12" s="14">
        <v>65.141418889999997</v>
      </c>
      <c r="H12" s="16">
        <v>1.9549786600000001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28.491238039999999</v>
      </c>
      <c r="F13" s="16">
        <v>2.4837012999999999</v>
      </c>
      <c r="G13" s="14">
        <v>71.508761960000001</v>
      </c>
      <c r="H13" s="16">
        <v>2.4837012999999999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31.37433068</v>
      </c>
      <c r="F14" s="16">
        <v>2.4645926199999999</v>
      </c>
      <c r="G14" s="14">
        <v>68.62566932</v>
      </c>
      <c r="H14" s="16">
        <v>2.4645926199999999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33.927070319999999</v>
      </c>
      <c r="F15" s="16">
        <v>2.06090068</v>
      </c>
      <c r="G15" s="14">
        <v>66.072929680000001</v>
      </c>
      <c r="H15" s="16">
        <v>2.06090068</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35.829245229999998</v>
      </c>
      <c r="F16" s="16">
        <v>2.3370083500000001</v>
      </c>
      <c r="G16" s="14">
        <v>64.170754770000002</v>
      </c>
      <c r="H16" s="16">
        <v>2.3370083500000001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30.187407790000002</v>
      </c>
      <c r="F17" s="16">
        <v>2.5325174600000002</v>
      </c>
      <c r="G17" s="14">
        <v>69.812592210000005</v>
      </c>
      <c r="H17" s="16">
        <v>2.5325174600000002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47.260465629999999</v>
      </c>
      <c r="F18" s="16">
        <v>2.7814269199999999</v>
      </c>
      <c r="G18" s="14">
        <v>52.739534370000001</v>
      </c>
      <c r="H18" s="16">
        <v>2.7814269199999999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34.286632570000002</v>
      </c>
      <c r="F19" s="16">
        <v>2.3253230299999998</v>
      </c>
      <c r="G19" s="14">
        <v>65.713367430000005</v>
      </c>
      <c r="H19" s="16">
        <v>2.3253230299999998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29.35823577</v>
      </c>
      <c r="F20" s="16">
        <v>2.7758075299999998</v>
      </c>
      <c r="G20" s="14">
        <v>70.641764230000007</v>
      </c>
      <c r="H20" s="16">
        <v>2.7758075299999998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39.060086730000002</v>
      </c>
      <c r="F22" s="16">
        <v>2.3576300200000002</v>
      </c>
      <c r="G22" s="14">
        <v>60.939913269999998</v>
      </c>
      <c r="H22" s="16">
        <v>2.3576300200000002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40.499745900000001</v>
      </c>
      <c r="F23" s="16">
        <v>2.00135679</v>
      </c>
      <c r="G23" s="14">
        <v>59.500254099999999</v>
      </c>
      <c r="H23" s="16">
        <v>2.00135679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28.364313899999999</v>
      </c>
      <c r="F24" s="16">
        <v>2.1095782199999999</v>
      </c>
      <c r="G24" s="14">
        <v>71.635686100000001</v>
      </c>
      <c r="H24" s="16">
        <v>2.1095782199999999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30.28189867</v>
      </c>
      <c r="F25" s="16">
        <v>2.2574874199999999</v>
      </c>
      <c r="G25" s="14">
        <v>69.718101329999996</v>
      </c>
      <c r="H25" s="16">
        <v>2.2574874199999999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41.269425380000001</v>
      </c>
      <c r="F26" s="16">
        <v>2.6876668100000001</v>
      </c>
      <c r="G26" s="14">
        <v>58.730574619999999</v>
      </c>
      <c r="H26" s="16">
        <v>2.6876668100000001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37.025742749999999</v>
      </c>
      <c r="F27" s="16">
        <v>2.3190211700000001</v>
      </c>
      <c r="G27" s="14">
        <v>62.974257250000001</v>
      </c>
      <c r="H27" s="16">
        <v>2.3190211700000001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42.542702079999998</v>
      </c>
      <c r="F28" s="16">
        <v>2.44125383</v>
      </c>
      <c r="G28" s="14">
        <v>57.457297920000002</v>
      </c>
      <c r="H28" s="16">
        <v>2.44125383</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38.874511220000002</v>
      </c>
      <c r="F29" s="16">
        <v>2.06067695</v>
      </c>
      <c r="G29" s="14">
        <v>61.125488779999998</v>
      </c>
      <c r="H29" s="16">
        <v>2.06067695</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23.95487052</v>
      </c>
      <c r="F30" s="16">
        <v>2.2424075399999999</v>
      </c>
      <c r="G30" s="14">
        <v>76.04512948</v>
      </c>
      <c r="H30" s="16">
        <v>2.2424075399999999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40.458143579999998</v>
      </c>
      <c r="F31" s="16">
        <v>2.5051562199999999</v>
      </c>
      <c r="G31" s="14">
        <v>59.541856420000002</v>
      </c>
      <c r="H31" s="16">
        <v>2.5051562199999999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35.528108940000003</v>
      </c>
      <c r="F33" s="16">
        <v>2.39972896</v>
      </c>
      <c r="G33" s="14">
        <v>64.471891060000004</v>
      </c>
      <c r="H33" s="16">
        <v>2.39972896</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43.800277620000003</v>
      </c>
      <c r="F34" s="16">
        <v>1.95683352</v>
      </c>
      <c r="G34" s="14">
        <v>56.199722379999997</v>
      </c>
      <c r="H34" s="16">
        <v>1.95683352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40.708834529999997</v>
      </c>
      <c r="F35" s="16">
        <v>2.5125518100000002</v>
      </c>
      <c r="G35" s="14">
        <v>59.291165470000003</v>
      </c>
      <c r="H35" s="16">
        <v>2.5125518100000002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36.090851319999999</v>
      </c>
      <c r="F36" s="16">
        <v>2.29211988</v>
      </c>
      <c r="G36" s="14">
        <v>63.909148680000001</v>
      </c>
      <c r="H36" s="16">
        <v>2.29211988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41.515772470000002</v>
      </c>
      <c r="F37" s="16">
        <v>2.19542021</v>
      </c>
      <c r="G37" s="14">
        <v>58.484227529999998</v>
      </c>
      <c r="H37" s="16">
        <v>2.19542021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50.353525900000001</v>
      </c>
      <c r="F39" s="16">
        <v>2.0580133699999998</v>
      </c>
      <c r="G39" s="14">
        <v>49.646474099999999</v>
      </c>
      <c r="H39" s="16">
        <v>2.0580133699999998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24.702500449999999</v>
      </c>
      <c r="F40" s="16">
        <v>1.65952503</v>
      </c>
      <c r="G40" s="14">
        <v>75.297499549999998</v>
      </c>
      <c r="H40" s="16">
        <v>1.65952503</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30.45858544</v>
      </c>
      <c r="F41" s="16">
        <v>2.2573664999999998</v>
      </c>
      <c r="G41" s="14">
        <v>69.541414560000007</v>
      </c>
      <c r="H41" s="16">
        <v>2.2573664999999998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35.146942057499992</v>
      </c>
      <c r="F42" s="16">
        <f>IF(COUNT(F7:F41) &gt; 0, SQRT(SUMSQ(F7:F41)/(COUNT(F7:F41)*COUNT(F7:F41)) ), "—")</f>
        <v>0.40024074207455856</v>
      </c>
      <c r="G42" s="14">
        <f>IF(COUNT(G7:G41) &gt; 0, AVERAGE(G7:G41), "—")</f>
        <v>64.853057942499987</v>
      </c>
      <c r="H42" s="16">
        <f>IF(COUNT(H7:H41) &gt; 0, SQRT(SUMSQ(H7:H41)/(COUNT(H7:H41)*COUNT(H7:H41)) ), "—")</f>
        <v>0.40024074207455856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42.08547497</v>
      </c>
      <c r="F46" s="16">
        <v>1.91357888</v>
      </c>
      <c r="G46" s="14">
        <v>57.91452503</v>
      </c>
      <c r="H46" s="16">
        <v>1.91357888</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47.224870690000003</v>
      </c>
      <c r="F47" s="16">
        <v>2.3086307100000001</v>
      </c>
      <c r="G47" s="14">
        <v>52.775129309999997</v>
      </c>
      <c r="H47" s="16">
        <v>2.3086307100000001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35.846562929999997</v>
      </c>
      <c r="F48" s="16">
        <v>2.34857834</v>
      </c>
      <c r="G48" s="14">
        <v>64.153437069999995</v>
      </c>
      <c r="H48" s="16">
        <v>2.34857834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45.742899739999999</v>
      </c>
      <c r="F50" s="16">
        <v>2.7760955699999998</v>
      </c>
      <c r="G50" s="14">
        <v>54.257100260000001</v>
      </c>
      <c r="H50" s="16">
        <v>2.7760955699999998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44.520095789999999</v>
      </c>
      <c r="F51" s="16">
        <v>2.3568035300000001</v>
      </c>
      <c r="G51" s="14">
        <v>55.479904210000001</v>
      </c>
      <c r="H51" s="16">
        <v>2.3568035300000001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52.11960698</v>
      </c>
      <c r="F52" s="16">
        <v>2.3697162000000001</v>
      </c>
      <c r="G52" s="14">
        <v>47.88039302</v>
      </c>
      <c r="H52" s="16">
        <v>2.3697162000000001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48.932812079999998</v>
      </c>
      <c r="F53" s="16">
        <v>2.5252615899999999</v>
      </c>
      <c r="G53" s="14">
        <v>51.067187920000002</v>
      </c>
      <c r="H53" s="16">
        <v>2.5252615899999999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27.71260681</v>
      </c>
      <c r="F56" s="16">
        <v>2.0526882400000002</v>
      </c>
      <c r="G56" s="14">
        <v>72.287393190000003</v>
      </c>
      <c r="H56" s="16">
        <v>2.0526882400000002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44.839714020000002</v>
      </c>
      <c r="F61" s="16">
        <v>2.2427036999999999</v>
      </c>
      <c r="G61" s="14">
        <v>55.160285979999998</v>
      </c>
      <c r="H61" s="16">
        <v>2.2427036999999999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26.491349960000001</v>
      </c>
      <c r="F62" s="16">
        <v>2.3056553900000001</v>
      </c>
      <c r="G62" s="14">
        <v>73.508650040000006</v>
      </c>
      <c r="H62" s="16">
        <v>2.3056553900000001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55.689657699999998</v>
      </c>
      <c r="F66" s="16">
        <v>1.9139283</v>
      </c>
      <c r="G66" s="14">
        <v>44.310342300000002</v>
      </c>
      <c r="H66" s="16">
        <v>1.9139283</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41.478919240000003</v>
      </c>
      <c r="F67" s="16">
        <v>2.23722669</v>
      </c>
      <c r="G67" s="14">
        <v>58.521080759999997</v>
      </c>
      <c r="H67" s="16">
        <v>2.23722669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33.973929769999998</v>
      </c>
      <c r="F70" s="16">
        <v>2.3791439900000002</v>
      </c>
      <c r="G70" s="14">
        <v>66.026070230000002</v>
      </c>
      <c r="H70" s="16">
        <v>2.3791439900000002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29.70755995</v>
      </c>
      <c r="F72" s="16">
        <v>1.78791473</v>
      </c>
      <c r="G72" s="14">
        <v>70.292440049999996</v>
      </c>
      <c r="H72" s="16">
        <v>1.78791473</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49.471330860000002</v>
      </c>
      <c r="F73" s="16">
        <v>2.5100634799999999</v>
      </c>
      <c r="G73" s="14">
        <v>50.528669139999998</v>
      </c>
      <c r="H73" s="16">
        <v>2.5100634799999999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7052</v>
      </c>
      <c r="C76" s="14">
        <f>(5886/B76*100)</f>
        <v>83.465683494044242</v>
      </c>
      <c r="D76" s="15">
        <v>1166</v>
      </c>
      <c r="E76" s="14">
        <v>45.158832969999999</v>
      </c>
      <c r="F76" s="16">
        <v>2.0114699699999998</v>
      </c>
      <c r="G76" s="14">
        <v>54.841167030000001</v>
      </c>
      <c r="H76" s="16">
        <v>2.0114699699999998</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45.082945840000001</v>
      </c>
      <c r="F77" s="16">
        <v>2.1982749500000001</v>
      </c>
      <c r="G77" s="14">
        <v>54.917054159999999</v>
      </c>
      <c r="H77" s="16">
        <v>2.1982749500000001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53.518761730000001</v>
      </c>
      <c r="F81" s="16">
        <v>2.66734692</v>
      </c>
      <c r="G81" s="14">
        <v>46.481238269999999</v>
      </c>
      <c r="H81" s="16">
        <v>2.66734692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46.917601840000003</v>
      </c>
      <c r="F7" s="16">
        <v>1.98027774</v>
      </c>
      <c r="G7" s="14">
        <v>53.082398159999997</v>
      </c>
      <c r="H7" s="16">
        <v>1.98027774</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53.654785279999999</v>
      </c>
      <c r="F8" s="16">
        <v>2.4718962900000001</v>
      </c>
      <c r="G8" s="14">
        <v>46.345214720000001</v>
      </c>
      <c r="H8" s="16">
        <v>2.4718962900000001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53.350595910000003</v>
      </c>
      <c r="F9" s="16">
        <v>1.8957693099999999</v>
      </c>
      <c r="G9" s="14">
        <v>46.649404089999997</v>
      </c>
      <c r="H9" s="16">
        <v>1.8957693099999999</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45.586451879999998</v>
      </c>
      <c r="F10" s="16">
        <v>1.92014792</v>
      </c>
      <c r="G10" s="14">
        <v>54.413548120000002</v>
      </c>
      <c r="H10" s="16">
        <v>1.92014792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59.49344619</v>
      </c>
      <c r="F11" s="16">
        <v>2.16506657</v>
      </c>
      <c r="G11" s="14">
        <v>40.50655381</v>
      </c>
      <c r="H11" s="16">
        <v>2.16506657</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60.578455820000002</v>
      </c>
      <c r="F12" s="16">
        <v>2.2623601600000001</v>
      </c>
      <c r="G12" s="14">
        <v>39.421544179999998</v>
      </c>
      <c r="H12" s="16">
        <v>2.2623601600000001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44.992790829999997</v>
      </c>
      <c r="F13" s="16">
        <v>1.8320192</v>
      </c>
      <c r="G13" s="14">
        <v>55.007209170000003</v>
      </c>
      <c r="H13" s="16">
        <v>1.8320192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51.91032045</v>
      </c>
      <c r="F14" s="16">
        <v>2.8187912000000002</v>
      </c>
      <c r="G14" s="14">
        <v>48.08967955</v>
      </c>
      <c r="H14" s="16">
        <v>2.8187912000000002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49.5752308</v>
      </c>
      <c r="F15" s="16">
        <v>2.59436351</v>
      </c>
      <c r="G15" s="14">
        <v>50.4247692</v>
      </c>
      <c r="H15" s="16">
        <v>2.59436351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63.611933409999999</v>
      </c>
      <c r="F16" s="16">
        <v>1.93692715</v>
      </c>
      <c r="G16" s="14">
        <v>36.388066590000001</v>
      </c>
      <c r="H16" s="16">
        <v>1.93692715</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51.623023539999998</v>
      </c>
      <c r="F17" s="16">
        <v>2.2794373399999999</v>
      </c>
      <c r="G17" s="14">
        <v>48.376976460000002</v>
      </c>
      <c r="H17" s="16">
        <v>2.2794373399999999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60.80664144</v>
      </c>
      <c r="F18" s="16">
        <v>2.4257189499999998</v>
      </c>
      <c r="G18" s="14">
        <v>39.19335856</v>
      </c>
      <c r="H18" s="16">
        <v>2.4257189499999998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72.28716584</v>
      </c>
      <c r="F19" s="16">
        <v>2.28275104</v>
      </c>
      <c r="G19" s="14">
        <v>27.71283416</v>
      </c>
      <c r="H19" s="16">
        <v>2.28275104</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56.427182039999998</v>
      </c>
      <c r="F20" s="16">
        <v>2.75724635</v>
      </c>
      <c r="G20" s="14">
        <v>43.572817960000002</v>
      </c>
      <c r="H20" s="16">
        <v>2.75724635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52.020377519999997</v>
      </c>
      <c r="F22" s="16">
        <v>2.0208185300000001</v>
      </c>
      <c r="G22" s="14">
        <v>47.979622480000003</v>
      </c>
      <c r="H22" s="16">
        <v>2.0208185300000001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62.431558950000003</v>
      </c>
      <c r="F23" s="16">
        <v>2.15738947</v>
      </c>
      <c r="G23" s="14">
        <v>37.568441049999997</v>
      </c>
      <c r="H23" s="16">
        <v>2.15738947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16.527596670000001</v>
      </c>
      <c r="F24" s="16">
        <v>1.6802504300000001</v>
      </c>
      <c r="G24" s="14">
        <v>83.472403330000006</v>
      </c>
      <c r="H24" s="16">
        <v>1.6802504300000001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40.217701499999997</v>
      </c>
      <c r="F25" s="16">
        <v>2.33889865</v>
      </c>
      <c r="G25" s="14">
        <v>59.782298500000003</v>
      </c>
      <c r="H25" s="16">
        <v>2.33889865</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62.692648910000003</v>
      </c>
      <c r="F26" s="16">
        <v>2.1666872599999998</v>
      </c>
      <c r="G26" s="14">
        <v>37.307351089999997</v>
      </c>
      <c r="H26" s="16">
        <v>2.1666872599999998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62.455592600000003</v>
      </c>
      <c r="F27" s="16">
        <v>2.1362004300000001</v>
      </c>
      <c r="G27" s="14">
        <v>37.544407399999997</v>
      </c>
      <c r="H27" s="16">
        <v>2.1362004300000001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63.818701590000003</v>
      </c>
      <c r="F28" s="16">
        <v>2.5019805800000001</v>
      </c>
      <c r="G28" s="14">
        <v>36.181298409999997</v>
      </c>
      <c r="H28" s="16">
        <v>2.5019805800000001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44.333058119999997</v>
      </c>
      <c r="F29" s="16">
        <v>2.5470842500000002</v>
      </c>
      <c r="G29" s="14">
        <v>55.666941880000003</v>
      </c>
      <c r="H29" s="16">
        <v>2.5470842500000002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48.031887189999999</v>
      </c>
      <c r="F30" s="16">
        <v>2.4919433899999999</v>
      </c>
      <c r="G30" s="14">
        <v>51.968112810000001</v>
      </c>
      <c r="H30" s="16">
        <v>2.4919433899999999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52.605138259999997</v>
      </c>
      <c r="F31" s="16">
        <v>2.0974375599999999</v>
      </c>
      <c r="G31" s="14">
        <v>47.394861740000003</v>
      </c>
      <c r="H31" s="16">
        <v>2.0974375599999999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58.194420010000002</v>
      </c>
      <c r="F33" s="16">
        <v>2.4907841999999998</v>
      </c>
      <c r="G33" s="14">
        <v>41.805579989999998</v>
      </c>
      <c r="H33" s="16">
        <v>2.4907841999999998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65.32883065</v>
      </c>
      <c r="F34" s="16">
        <v>1.89355663</v>
      </c>
      <c r="G34" s="14">
        <v>34.67116935</v>
      </c>
      <c r="H34" s="16">
        <v>1.89355663</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59.169333170000002</v>
      </c>
      <c r="F35" s="16">
        <v>2.3701702999999998</v>
      </c>
      <c r="G35" s="14">
        <v>40.830666829999998</v>
      </c>
      <c r="H35" s="16">
        <v>2.3701702999999998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52.314524149999997</v>
      </c>
      <c r="F36" s="16">
        <v>1.8720775999999999</v>
      </c>
      <c r="G36" s="14">
        <v>47.685475850000003</v>
      </c>
      <c r="H36" s="16">
        <v>1.8720775999999999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58.480805740000001</v>
      </c>
      <c r="F37" s="16">
        <v>2.84354006</v>
      </c>
      <c r="G37" s="14">
        <v>41.519194259999999</v>
      </c>
      <c r="H37" s="16">
        <v>2.84354006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68.308211569999997</v>
      </c>
      <c r="F39" s="16">
        <v>2.3824160000000001</v>
      </c>
      <c r="G39" s="14">
        <v>31.691788429999999</v>
      </c>
      <c r="H39" s="16">
        <v>2.3824160000000001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50.429050310000001</v>
      </c>
      <c r="F40" s="16">
        <v>2.01371433</v>
      </c>
      <c r="G40" s="14">
        <v>49.570949689999999</v>
      </c>
      <c r="H40" s="16">
        <v>2.01371433</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44.771481549999997</v>
      </c>
      <c r="F41" s="16">
        <v>2.5646790099999999</v>
      </c>
      <c r="G41" s="14">
        <v>55.228518450000003</v>
      </c>
      <c r="H41" s="16">
        <v>2.5646790099999999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54.154579491562501</v>
      </c>
      <c r="F42" s="16">
        <f>IF(COUNT(F7:F41) &gt; 0, SQRT(SUMSQ(F7:F41)/(COUNT(F7:F41)*COUNT(F7:F41)) ), "—")</f>
        <v>0.40232289111038566</v>
      </c>
      <c r="G42" s="14">
        <f>IF(COUNT(G7:G41) &gt; 0, AVERAGE(G7:G41), "—")</f>
        <v>45.845420508437499</v>
      </c>
      <c r="H42" s="16">
        <f>IF(COUNT(H7:H41) &gt; 0, SQRT(SUMSQ(H7:H41)/(COUNT(H7:H41)*COUNT(H7:H41)) ), "—")</f>
        <v>0.40232289111038566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66.109930520000006</v>
      </c>
      <c r="F46" s="16">
        <v>1.87649087</v>
      </c>
      <c r="G46" s="14">
        <v>33.890069480000001</v>
      </c>
      <c r="H46" s="16">
        <v>1.87649087</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61.36956318</v>
      </c>
      <c r="F47" s="16">
        <v>2.15638153</v>
      </c>
      <c r="G47" s="14">
        <v>38.63043682</v>
      </c>
      <c r="H47" s="16">
        <v>2.15638153</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46.922035559999998</v>
      </c>
      <c r="F48" s="16">
        <v>2.18902398</v>
      </c>
      <c r="G48" s="14">
        <v>53.077964440000002</v>
      </c>
      <c r="H48" s="16">
        <v>2.18902398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66.352155719999999</v>
      </c>
      <c r="F50" s="16">
        <v>2.13456665</v>
      </c>
      <c r="G50" s="14">
        <v>33.647844280000001</v>
      </c>
      <c r="H50" s="16">
        <v>2.13456665</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63.821704510000004</v>
      </c>
      <c r="F51" s="16">
        <v>2.3513952300000001</v>
      </c>
      <c r="G51" s="14">
        <v>36.178295489999996</v>
      </c>
      <c r="H51" s="16">
        <v>2.3513952300000001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63.674766490000003</v>
      </c>
      <c r="F52" s="16">
        <v>2.44389184</v>
      </c>
      <c r="G52" s="14">
        <v>36.325233509999997</v>
      </c>
      <c r="H52" s="16">
        <v>2.44389184</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64.155362629999999</v>
      </c>
      <c r="F53" s="16">
        <v>2.4044300500000002</v>
      </c>
      <c r="G53" s="14">
        <v>35.844637370000001</v>
      </c>
      <c r="H53" s="16">
        <v>2.4044300500000002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34.43303409</v>
      </c>
      <c r="F56" s="16">
        <v>2.5340950599999998</v>
      </c>
      <c r="G56" s="14">
        <v>65.566965909999993</v>
      </c>
      <c r="H56" s="16">
        <v>2.5340950599999998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59.162279689999998</v>
      </c>
      <c r="F61" s="16">
        <v>2.1164034799999998</v>
      </c>
      <c r="G61" s="14">
        <v>40.837720310000002</v>
      </c>
      <c r="H61" s="16">
        <v>2.1164034799999998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45.311017800000002</v>
      </c>
      <c r="F62" s="16">
        <v>2.6777058999999999</v>
      </c>
      <c r="G62" s="14">
        <v>54.688982199999998</v>
      </c>
      <c r="H62" s="16">
        <v>2.6777058999999999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63.555146610000001</v>
      </c>
      <c r="F66" s="16">
        <v>2.49476502</v>
      </c>
      <c r="G66" s="14">
        <v>36.444853389999999</v>
      </c>
      <c r="H66" s="16">
        <v>2.49476502</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68.683101489999999</v>
      </c>
      <c r="F67" s="16">
        <v>2.4736202600000001</v>
      </c>
      <c r="G67" s="14">
        <v>31.316898510000001</v>
      </c>
      <c r="H67" s="16">
        <v>2.4736202600000001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54.359889950000003</v>
      </c>
      <c r="F70" s="16">
        <v>2.4562382999999999</v>
      </c>
      <c r="G70" s="14">
        <v>45.640110049999997</v>
      </c>
      <c r="H70" s="16">
        <v>2.4562382999999999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52.375110030000002</v>
      </c>
      <c r="F72" s="16">
        <v>1.9815687</v>
      </c>
      <c r="G72" s="14">
        <v>47.624889969999998</v>
      </c>
      <c r="H72" s="16">
        <v>1.9815687</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59.642054539999997</v>
      </c>
      <c r="F73" s="16">
        <v>2.8281270200000002</v>
      </c>
      <c r="G73" s="14">
        <v>40.357945460000003</v>
      </c>
      <c r="H73" s="16">
        <v>2.8281270200000002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73.131767640000007</v>
      </c>
      <c r="F75" s="16">
        <v>2.1113393899999999</v>
      </c>
      <c r="G75" s="14">
        <v>26.86823236</v>
      </c>
      <c r="H75" s="16">
        <v>2.1113393899999999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61.207629560000001</v>
      </c>
      <c r="F76" s="16">
        <v>1.92076095</v>
      </c>
      <c r="G76" s="14">
        <v>38.792370439999999</v>
      </c>
      <c r="H76" s="16">
        <v>1.92076095</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65.309715979999993</v>
      </c>
      <c r="F77" s="16">
        <v>2.4688958799999998</v>
      </c>
      <c r="G77" s="14">
        <v>34.69028402</v>
      </c>
      <c r="H77" s="16">
        <v>2.4688958799999998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60.106312029999998</v>
      </c>
      <c r="F81" s="16">
        <v>2.5016554200000001</v>
      </c>
      <c r="G81" s="14">
        <v>39.893687970000002</v>
      </c>
      <c r="H81" s="16">
        <v>2.5016554200000001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246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(6174/B7*100)</f>
        <v>83.806162617076154</v>
      </c>
      <c r="D7" s="15">
        <v>1193</v>
      </c>
      <c r="E7" s="14">
        <v>9.65568004</v>
      </c>
      <c r="F7" s="16">
        <v>1.12142969</v>
      </c>
      <c r="G7" s="14">
        <v>90.344319960000007</v>
      </c>
      <c r="H7" s="16">
        <v>1.12142969</v>
      </c>
      <c r="I7" s="14" t="s">
        <v>139</v>
      </c>
      <c r="J7" s="16" t="s">
        <v>139</v>
      </c>
      <c r="K7" s="14">
        <v>0</v>
      </c>
      <c r="L7" s="16">
        <v>0</v>
      </c>
      <c r="M7" s="14">
        <v>0</v>
      </c>
      <c r="N7" s="16">
        <v>0</v>
      </c>
      <c r="O7" s="14">
        <v>0</v>
      </c>
      <c r="P7" s="16">
        <v>0</v>
      </c>
      <c r="Q7" s="14">
        <v>0</v>
      </c>
      <c r="R7" s="16">
        <v>0</v>
      </c>
    </row>
    <row r="8" spans="1:18" x14ac:dyDescent="0.25">
      <c r="A8" s="11" t="s">
        <v>140</v>
      </c>
      <c r="B8" s="13">
        <v>3564</v>
      </c>
      <c r="C8" s="14">
        <f>(2951/B8*100)</f>
        <v>82.800224466891137</v>
      </c>
      <c r="D8" s="15">
        <v>613</v>
      </c>
      <c r="E8" s="14">
        <v>14.141346370000001</v>
      </c>
      <c r="F8" s="16">
        <v>1.63196896</v>
      </c>
      <c r="G8" s="14">
        <v>85.858653630000006</v>
      </c>
      <c r="H8" s="16">
        <v>1.63196896</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9.4208043099999994</v>
      </c>
      <c r="F9" s="16">
        <v>1.07376366</v>
      </c>
      <c r="G9" s="14">
        <v>90.579195690000006</v>
      </c>
      <c r="H9" s="16">
        <v>1.07376366</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10.179092499999999</v>
      </c>
      <c r="F10" s="16">
        <v>0.95198802999999999</v>
      </c>
      <c r="G10" s="14">
        <v>89.820907500000004</v>
      </c>
      <c r="H10" s="16">
        <v>0.95198802999999999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(2987/B11*100)</f>
        <v>84.069800168871382</v>
      </c>
      <c r="D11" s="15">
        <v>566</v>
      </c>
      <c r="E11" s="14">
        <v>13.249413280000001</v>
      </c>
      <c r="F11" s="16">
        <v>1.73435937</v>
      </c>
      <c r="G11" s="14">
        <v>86.750586720000001</v>
      </c>
      <c r="H11" s="16">
        <v>1.73435937</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(2899/B12*100)</f>
        <v>83.496543778801851</v>
      </c>
      <c r="D12" s="15">
        <v>573</v>
      </c>
      <c r="E12" s="14">
        <v>12.05473265</v>
      </c>
      <c r="F12" s="16">
        <v>1.74595704</v>
      </c>
      <c r="G12" s="14">
        <v>87.945267349999995</v>
      </c>
      <c r="H12" s="16">
        <v>1.74595704</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(3002/B13*100)</f>
        <v>84.349536386625459</v>
      </c>
      <c r="D13" s="15">
        <v>557</v>
      </c>
      <c r="E13" s="14">
        <v>9.1270625499999998</v>
      </c>
      <c r="F13" s="16">
        <v>1.57714106</v>
      </c>
      <c r="G13" s="14">
        <v>90.872937449999995</v>
      </c>
      <c r="H13" s="16">
        <v>1.57714106</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4.4975689000000001</v>
      </c>
      <c r="F14" s="16">
        <v>0.92314494999999996</v>
      </c>
      <c r="G14" s="14">
        <v>95.502431099999995</v>
      </c>
      <c r="H14" s="16">
        <v>0.92314494999999996</v>
      </c>
      <c r="I14" s="14" t="s">
        <v>139</v>
      </c>
      <c r="J14" s="16" t="s">
        <v>139</v>
      </c>
      <c r="K14" s="14">
        <v>0</v>
      </c>
      <c r="L14" s="16">
        <v>0</v>
      </c>
      <c r="M14" s="14">
        <v>0</v>
      </c>
      <c r="N14" s="16">
        <v>0</v>
      </c>
      <c r="O14" s="14">
        <v>0</v>
      </c>
      <c r="P14" s="16">
        <v>0</v>
      </c>
      <c r="Q14" s="14">
        <v>0</v>
      </c>
      <c r="R14" s="16">
        <v>0</v>
      </c>
    </row>
    <row r="15" spans="1:18" x14ac:dyDescent="0.25">
      <c r="A15" s="11" t="s">
        <v>147</v>
      </c>
      <c r="B15" s="13">
        <v>3019</v>
      </c>
      <c r="C15" s="14">
        <f>(2527/B15*100)</f>
        <v>83.703212984431929</v>
      </c>
      <c r="D15" s="15">
        <v>492</v>
      </c>
      <c r="E15" s="14">
        <v>9.4760806899999999</v>
      </c>
      <c r="F15" s="16">
        <v>1.5150373800000001</v>
      </c>
      <c r="G15" s="14">
        <v>90.523919309999997</v>
      </c>
      <c r="H15" s="16">
        <v>1.5150373800000001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(2507/B16*100)</f>
        <v>83.650316983650313</v>
      </c>
      <c r="D16" s="15">
        <v>490</v>
      </c>
      <c r="E16" s="14">
        <v>13.836579179999999</v>
      </c>
      <c r="F16" s="16">
        <v>1.6150153700000001</v>
      </c>
      <c r="G16" s="14">
        <v>86.163420819999999</v>
      </c>
      <c r="H16" s="16">
        <v>1.6150153700000001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7.2958876300000002</v>
      </c>
      <c r="F17" s="16">
        <v>1.1261588600000001</v>
      </c>
      <c r="G17" s="14">
        <v>92.704112370000004</v>
      </c>
      <c r="H17" s="16">
        <v>1.1261588600000001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(2342/B18*100)</f>
        <v>82.873319179051663</v>
      </c>
      <c r="D18" s="15">
        <v>484</v>
      </c>
      <c r="E18" s="14">
        <v>18.88373253</v>
      </c>
      <c r="F18" s="16">
        <v>1.9808868500000001</v>
      </c>
      <c r="G18" s="14">
        <v>81.116267469999997</v>
      </c>
      <c r="H18" s="16">
        <v>1.9808868500000001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(2354/B19*100)</f>
        <v>83.831908831908834</v>
      </c>
      <c r="D19" s="15">
        <v>454</v>
      </c>
      <c r="E19" s="14">
        <v>13.074846470000001</v>
      </c>
      <c r="F19" s="16">
        <v>1.45293228</v>
      </c>
      <c r="G19" s="14">
        <v>86.925153530000003</v>
      </c>
      <c r="H19" s="16">
        <v>1.45293228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14.861138710000001</v>
      </c>
      <c r="F20" s="16">
        <v>2.3245330399999999</v>
      </c>
      <c r="G20" s="14">
        <v>85.138861289999994</v>
      </c>
      <c r="H20" s="16">
        <v>2.3245330399999999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(2468/B22*100)</f>
        <v>84.203343568747869</v>
      </c>
      <c r="D22" s="15">
        <v>463</v>
      </c>
      <c r="E22" s="14">
        <v>17.489716609999999</v>
      </c>
      <c r="F22" s="16">
        <v>1.83325285</v>
      </c>
      <c r="G22" s="14">
        <v>82.510283389999998</v>
      </c>
      <c r="H22" s="16">
        <v>1.83325285</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(4834/B23*100)</f>
        <v>83.474356760490423</v>
      </c>
      <c r="D23" s="15">
        <v>957</v>
      </c>
      <c r="E23" s="14">
        <v>11.61373496</v>
      </c>
      <c r="F23" s="16">
        <v>1.41834634</v>
      </c>
      <c r="G23" s="14">
        <v>88.386265039999998</v>
      </c>
      <c r="H23" s="16">
        <v>1.41834634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13.69969657</v>
      </c>
      <c r="F24" s="16">
        <v>1.4937469699999999</v>
      </c>
      <c r="G24" s="14">
        <v>86.30030343</v>
      </c>
      <c r="H24" s="16">
        <v>1.4937469699999999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(2407/B25*100)</f>
        <v>82.657967032967022</v>
      </c>
      <c r="D25" s="15">
        <v>505</v>
      </c>
      <c r="E25" s="14">
        <v>13.59767443</v>
      </c>
      <c r="F25" s="16">
        <v>1.7133973899999999</v>
      </c>
      <c r="G25" s="14">
        <v>86.402325570000002</v>
      </c>
      <c r="H25" s="16">
        <v>1.7133973899999999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(2021/B26*100)</f>
        <v>82.489795918367349</v>
      </c>
      <c r="D26" s="15">
        <v>429</v>
      </c>
      <c r="E26" s="14">
        <v>12.696485210000001</v>
      </c>
      <c r="F26" s="16">
        <v>1.38625496</v>
      </c>
      <c r="G26" s="14">
        <v>87.303514789999994</v>
      </c>
      <c r="H26" s="16">
        <v>1.38625496</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(2183/B27*100)</f>
        <v>83.448012232415905</v>
      </c>
      <c r="D27" s="15">
        <v>433</v>
      </c>
      <c r="E27" s="14">
        <v>14.59268016</v>
      </c>
      <c r="F27" s="16">
        <v>1.8917586500000001</v>
      </c>
      <c r="G27" s="14">
        <v>85.40731984</v>
      </c>
      <c r="H27" s="16">
        <v>1.8917586500000001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(3198/B28*100)</f>
        <v>84.940239043824704</v>
      </c>
      <c r="D28" s="15">
        <v>567</v>
      </c>
      <c r="E28" s="14">
        <v>16.717886440000001</v>
      </c>
      <c r="F28" s="16">
        <v>1.8785747399999999</v>
      </c>
      <c r="G28" s="14">
        <v>83.282113559999999</v>
      </c>
      <c r="H28" s="16">
        <v>1.8785747399999999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10.67956023</v>
      </c>
      <c r="F29" s="16">
        <v>1.49455973</v>
      </c>
      <c r="G29" s="14">
        <v>89.320439769999993</v>
      </c>
      <c r="H29" s="16">
        <v>1.49455973</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(1882/B30*100)</f>
        <v>83.163941670349089</v>
      </c>
      <c r="D30" s="15">
        <v>381</v>
      </c>
      <c r="E30" s="14">
        <v>12.556767900000001</v>
      </c>
      <c r="F30" s="16">
        <v>1.9555336800000001</v>
      </c>
      <c r="G30" s="14">
        <v>87.443232100000003</v>
      </c>
      <c r="H30" s="16">
        <v>1.9555336800000001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(2316/B31*100)</f>
        <v>84.218181818181819</v>
      </c>
      <c r="D31" s="15">
        <v>434</v>
      </c>
      <c r="E31" s="14">
        <v>10.62268555</v>
      </c>
      <c r="F31" s="16">
        <v>1.49899385</v>
      </c>
      <c r="G31" s="14">
        <v>89.37731445</v>
      </c>
      <c r="H31" s="16">
        <v>1.49899385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(3112/B33*100)</f>
        <v>84.703320631464337</v>
      </c>
      <c r="D33" s="15">
        <v>562</v>
      </c>
      <c r="E33" s="14">
        <v>12.086791740000001</v>
      </c>
      <c r="F33" s="16">
        <v>1.46683941</v>
      </c>
      <c r="G33" s="14">
        <v>87.913208260000005</v>
      </c>
      <c r="H33" s="16">
        <v>1.46683941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(2770/B34*100)</f>
        <v>83.559577677224738</v>
      </c>
      <c r="D34" s="15">
        <v>545</v>
      </c>
      <c r="E34" s="14">
        <v>17.641558539999998</v>
      </c>
      <c r="F34" s="16">
        <v>1.8390602700000001</v>
      </c>
      <c r="G34" s="14">
        <v>82.358441459999995</v>
      </c>
      <c r="H34" s="16">
        <v>1.8390602700000001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(2913/B35*100)</f>
        <v>83.109843081312405</v>
      </c>
      <c r="D35" s="15">
        <v>592</v>
      </c>
      <c r="E35" s="14">
        <v>10.492450120000001</v>
      </c>
      <c r="F35" s="16">
        <v>1.57786699</v>
      </c>
      <c r="G35" s="14">
        <v>89.507549879999999</v>
      </c>
      <c r="H35" s="16">
        <v>1.57786699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(2794/B36*100)</f>
        <v>83.853541416566628</v>
      </c>
      <c r="D36" s="15">
        <v>538</v>
      </c>
      <c r="E36" s="14">
        <v>11.684967500000001</v>
      </c>
      <c r="F36" s="16">
        <v>1.35900822</v>
      </c>
      <c r="G36" s="14">
        <v>88.315032500000001</v>
      </c>
      <c r="H36" s="16">
        <v>1.35900822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(2287/B37*100)</f>
        <v>83.86505317198386</v>
      </c>
      <c r="D37" s="15">
        <v>440</v>
      </c>
      <c r="E37" s="14">
        <v>15.29916768</v>
      </c>
      <c r="F37" s="16">
        <v>1.80997572</v>
      </c>
      <c r="G37" s="14">
        <v>84.700832320000004</v>
      </c>
      <c r="H37" s="16">
        <v>1.80997572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(2460/B39*100)</f>
        <v>83.192424754819072</v>
      </c>
      <c r="D39" s="15">
        <v>497</v>
      </c>
      <c r="E39" s="14">
        <v>25.253330859999998</v>
      </c>
      <c r="F39" s="16">
        <v>1.84574259</v>
      </c>
      <c r="G39" s="14">
        <v>74.746669139999995</v>
      </c>
      <c r="H39" s="16">
        <v>1.84574259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(5988/B40*100)</f>
        <v>82.764340013821709</v>
      </c>
      <c r="D40" s="15">
        <v>1247</v>
      </c>
      <c r="E40" s="14">
        <v>12.64232601</v>
      </c>
      <c r="F40" s="16">
        <v>1.3028133200000001</v>
      </c>
      <c r="G40" s="14">
        <v>87.357673989999995</v>
      </c>
      <c r="H40" s="16">
        <v>1.3028133200000001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(2418/B41*100)</f>
        <v>84.604618614415671</v>
      </c>
      <c r="D41" s="15">
        <v>440</v>
      </c>
      <c r="E41" s="14">
        <v>9.6948207100000001</v>
      </c>
      <c r="F41" s="16">
        <v>1.3571821900000001</v>
      </c>
      <c r="G41" s="14">
        <v>90.305179289999998</v>
      </c>
      <c r="H41" s="16">
        <v>1.3571821900000001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83.60392130216816</v>
      </c>
      <c r="D42" s="15">
        <f>IF(COUNT(D7:D41) &gt; 0, AVERAGE(D7:D41), "—")</f>
        <v>599.09375</v>
      </c>
      <c r="E42" s="14">
        <f>IF(COUNT(E7:E41) &gt; 0, AVERAGE(E7:E41), "—")</f>
        <v>12.7755083446875</v>
      </c>
      <c r="F42" s="16">
        <f>IF(COUNT(F7:F41) &gt; 0, SQRT(SUMSQ(F7:F41)/(COUNT(F7:F41)*COUNT(F7:F41)) ), "—")</f>
        <v>0.28116760280346836</v>
      </c>
      <c r="G42" s="14">
        <f>IF(COUNT(G7:G41) &gt; 0, AVERAGE(G7:G41), "—")</f>
        <v>87.224491655312491</v>
      </c>
      <c r="H42" s="16">
        <f>IF(COUNT(H7:H41) &gt; 0, SQRT(SUMSQ(H7:H41)/(COUNT(H7:H41)*COUNT(H7:H41)) ), "—")</f>
        <v>0.28116760280346836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(9818/B46*100)</f>
        <v>88.706179978315873</v>
      </c>
      <c r="D46" s="15">
        <v>1250</v>
      </c>
      <c r="E46" s="14">
        <v>18.58307233</v>
      </c>
      <c r="F46" s="16">
        <v>1.57722166</v>
      </c>
      <c r="G46" s="14">
        <v>81.416927670000007</v>
      </c>
      <c r="H46" s="16">
        <v>1.57722166</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(2608/B47*100)</f>
        <v>83.993558776167475</v>
      </c>
      <c r="D47" s="15">
        <v>497</v>
      </c>
      <c r="E47" s="14">
        <v>20.55149995</v>
      </c>
      <c r="F47" s="16">
        <v>2.0132736000000002</v>
      </c>
      <c r="G47" s="14">
        <v>79.448500050000007</v>
      </c>
      <c r="H47" s="16">
        <v>2.0132736000000002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(4299/B48*100)</f>
        <v>83.330102733087813</v>
      </c>
      <c r="D48" s="15">
        <v>860</v>
      </c>
      <c r="E48" s="14">
        <v>12.62343708</v>
      </c>
      <c r="F48" s="16">
        <v>1.47743114</v>
      </c>
      <c r="G48" s="14">
        <v>87.376562919999998</v>
      </c>
      <c r="H48" s="16">
        <v>1.47743114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(4763/B50*100)</f>
        <v>84.495298917864119</v>
      </c>
      <c r="D50" s="15">
        <v>874</v>
      </c>
      <c r="E50" s="14">
        <v>15.75846159</v>
      </c>
      <c r="F50" s="16">
        <v>1.5241458699999999</v>
      </c>
      <c r="G50" s="14">
        <v>84.241538410000004</v>
      </c>
      <c r="H50" s="16">
        <v>1.5241458699999999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(2920/B51*100)</f>
        <v>86.595492289442461</v>
      </c>
      <c r="D51" s="15">
        <v>452</v>
      </c>
      <c r="E51" s="14">
        <v>11.77052196</v>
      </c>
      <c r="F51" s="16">
        <v>1.46049633</v>
      </c>
      <c r="G51" s="14">
        <v>88.229478040000004</v>
      </c>
      <c r="H51" s="16">
        <v>1.46049633</v>
      </c>
      <c r="I51" s="14" t="s">
        <v>139</v>
      </c>
      <c r="J51" s="16" t="s">
        <v>139</v>
      </c>
      <c r="K51" s="14">
        <v>0</v>
      </c>
      <c r="L51" s="16">
        <v>0</v>
      </c>
      <c r="M51" s="14">
        <v>0</v>
      </c>
      <c r="N51" s="16">
        <v>0</v>
      </c>
      <c r="O51" s="14">
        <v>0</v>
      </c>
      <c r="P51" s="16">
        <v>0</v>
      </c>
      <c r="Q51" s="14">
        <v>0</v>
      </c>
      <c r="R51" s="16">
        <v>0</v>
      </c>
    </row>
    <row r="52" spans="1:18" x14ac:dyDescent="0.25">
      <c r="A52" s="11" t="s">
        <v>185</v>
      </c>
      <c r="B52" s="13">
        <v>2796</v>
      </c>
      <c r="C52" s="14">
        <f>(2315/B52*100)</f>
        <v>82.796852646638058</v>
      </c>
      <c r="D52" s="15">
        <v>481</v>
      </c>
      <c r="E52" s="14">
        <v>14.817697259999999</v>
      </c>
      <c r="F52" s="16">
        <v>1.67618084</v>
      </c>
      <c r="G52" s="14">
        <v>85.182302739999997</v>
      </c>
      <c r="H52" s="16">
        <v>1.67618084</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(2347/B53*100)</f>
        <v>83.493418712202057</v>
      </c>
      <c r="D53" s="15">
        <v>464</v>
      </c>
      <c r="E53" s="14">
        <v>23.971037039999999</v>
      </c>
      <c r="F53" s="16">
        <v>2.13830981</v>
      </c>
      <c r="G53" s="14">
        <v>76.028962960000001</v>
      </c>
      <c r="H53" s="16">
        <v>2.13830981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(2245/B56*100)</f>
        <v>83.643815201192254</v>
      </c>
      <c r="D56" s="15">
        <v>439</v>
      </c>
      <c r="E56" s="14">
        <v>10.084010729999999</v>
      </c>
      <c r="F56" s="16">
        <v>1.62186254</v>
      </c>
      <c r="G56" s="14">
        <v>89.915989269999997</v>
      </c>
      <c r="H56" s="16">
        <v>1.62186254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(2768/B61*100)</f>
        <v>83.273164861612514</v>
      </c>
      <c r="D61" s="15">
        <v>556</v>
      </c>
      <c r="E61" s="14">
        <v>13.531412660000001</v>
      </c>
      <c r="F61" s="16">
        <v>1.52274512</v>
      </c>
      <c r="G61" s="14">
        <v>86.468587339999999</v>
      </c>
      <c r="H61" s="16">
        <v>1.52274512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(1864/B62*100)</f>
        <v>82.991985752448798</v>
      </c>
      <c r="D62" s="15">
        <v>382</v>
      </c>
      <c r="E62" s="14">
        <v>10.79978873</v>
      </c>
      <c r="F62" s="16">
        <v>1.5603009800000001</v>
      </c>
      <c r="G62" s="14">
        <v>89.200211269999997</v>
      </c>
      <c r="H62" s="16">
        <v>1.5603009800000001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(2421/B66*100)</f>
        <v>83.655839668279199</v>
      </c>
      <c r="D66" s="15">
        <v>473</v>
      </c>
      <c r="E66" s="14">
        <v>24.921252299999999</v>
      </c>
      <c r="F66" s="16">
        <v>2.2511774299999998</v>
      </c>
      <c r="G66" s="14">
        <v>75.078747699999994</v>
      </c>
      <c r="H66" s="16">
        <v>2.2511774299999998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(3057/B67*100)</f>
        <v>87.069211050982631</v>
      </c>
      <c r="D67" s="15">
        <v>454</v>
      </c>
      <c r="E67" s="14">
        <v>19.654025690000001</v>
      </c>
      <c r="F67" s="16">
        <v>1.9427825000000001</v>
      </c>
      <c r="G67" s="14">
        <v>80.345974310000003</v>
      </c>
      <c r="H67" s="16">
        <v>1.9427825000000001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(2454/B70*100)</f>
        <v>83.782861044725166</v>
      </c>
      <c r="D70" s="15">
        <v>475</v>
      </c>
      <c r="E70" s="14">
        <v>12.372180760000001</v>
      </c>
      <c r="F70" s="16">
        <v>1.6882772100000001</v>
      </c>
      <c r="G70" s="14">
        <v>87.627819239999994</v>
      </c>
      <c r="H70" s="16">
        <v>1.6882772100000001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(3228/B72*100)</f>
        <v>83.00334276163538</v>
      </c>
      <c r="D72" s="15">
        <v>661</v>
      </c>
      <c r="E72" s="14">
        <v>8.3862364100000004</v>
      </c>
      <c r="F72" s="16">
        <v>1.1563267100000001</v>
      </c>
      <c r="G72" s="14">
        <v>91.613763590000005</v>
      </c>
      <c r="H72" s="16">
        <v>1.1563267100000001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29.129441180000001</v>
      </c>
      <c r="F73" s="16">
        <v>2.2391246499999999</v>
      </c>
      <c r="G73" s="14">
        <v>70.870558819999999</v>
      </c>
      <c r="H73" s="16">
        <v>2.2391246499999999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(2045/B75*100)</f>
        <v>84.995843724023274</v>
      </c>
      <c r="D75" s="15">
        <v>361</v>
      </c>
      <c r="E75" s="14">
        <v>27.224380589999999</v>
      </c>
      <c r="F75" s="16">
        <v>2.4705289399999999</v>
      </c>
      <c r="G75" s="14">
        <v>72.775619410000004</v>
      </c>
      <c r="H75" s="16">
        <v>2.4705289399999999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(5886/B76*100)</f>
        <v>83.465683494044242</v>
      </c>
      <c r="D76" s="15">
        <v>1166</v>
      </c>
      <c r="E76" s="14">
        <v>23.778413359999998</v>
      </c>
      <c r="F76" s="16">
        <v>1.30339589</v>
      </c>
      <c r="G76" s="14">
        <v>76.221586639999998</v>
      </c>
      <c r="H76" s="16">
        <v>1.30339589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(2448/B77*100)</f>
        <v>84.181568088033004</v>
      </c>
      <c r="D77" s="15">
        <v>460</v>
      </c>
      <c r="E77" s="14">
        <v>18.200964280000001</v>
      </c>
      <c r="F77" s="16">
        <v>1.9863968700000001</v>
      </c>
      <c r="G77" s="14">
        <v>81.799035720000006</v>
      </c>
      <c r="H77" s="16">
        <v>1.9863968700000001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(3448/B81*100)</f>
        <v>82.824885899591635</v>
      </c>
      <c r="D81" s="15">
        <v>715</v>
      </c>
      <c r="E81" s="14">
        <v>23.425060330000001</v>
      </c>
      <c r="F81" s="16">
        <v>1.88427846</v>
      </c>
      <c r="G81" s="14">
        <v>76.574939670000006</v>
      </c>
      <c r="H81" s="16">
        <v>1.88427846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247</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(6174/B7*100)</f>
        <v>83.806162617076154</v>
      </c>
      <c r="D7" s="15">
        <v>1193</v>
      </c>
      <c r="E7" s="14">
        <v>19.855472389999999</v>
      </c>
      <c r="F7" s="16">
        <v>1.3281614500000001</v>
      </c>
      <c r="G7" s="14">
        <v>22.926264929999999</v>
      </c>
      <c r="H7" s="16">
        <v>1.5746446999999999</v>
      </c>
      <c r="I7" s="14">
        <v>57.218262680000002</v>
      </c>
      <c r="J7" s="16">
        <v>1.6335763999999999</v>
      </c>
      <c r="K7" s="14" t="s">
        <v>139</v>
      </c>
      <c r="L7" s="16" t="s">
        <v>139</v>
      </c>
      <c r="M7" s="14">
        <v>0</v>
      </c>
      <c r="N7" s="16">
        <v>0</v>
      </c>
      <c r="O7" s="14">
        <v>0</v>
      </c>
      <c r="P7" s="16">
        <v>0</v>
      </c>
      <c r="Q7" s="14">
        <v>0</v>
      </c>
      <c r="R7" s="16">
        <v>0</v>
      </c>
      <c r="S7" s="14">
        <v>0</v>
      </c>
      <c r="T7" s="16">
        <v>0</v>
      </c>
    </row>
    <row r="8" spans="1:20" x14ac:dyDescent="0.25">
      <c r="A8" s="11" t="s">
        <v>140</v>
      </c>
      <c r="B8" s="13">
        <v>3564</v>
      </c>
      <c r="C8" s="14">
        <f>(2951/B8*100)</f>
        <v>82.800224466891137</v>
      </c>
      <c r="D8" s="15">
        <v>613</v>
      </c>
      <c r="E8" s="14">
        <v>24.34947751</v>
      </c>
      <c r="F8" s="16">
        <v>1.6154447199999999</v>
      </c>
      <c r="G8" s="14">
        <v>27.940521610000001</v>
      </c>
      <c r="H8" s="16">
        <v>2.0010787400000001</v>
      </c>
      <c r="I8" s="14">
        <v>47.710000880000003</v>
      </c>
      <c r="J8" s="16">
        <v>2.06578251</v>
      </c>
      <c r="K8" s="14" t="s">
        <v>139</v>
      </c>
      <c r="L8" s="16" t="s">
        <v>139</v>
      </c>
      <c r="M8" s="14">
        <v>0</v>
      </c>
      <c r="N8" s="16">
        <v>0</v>
      </c>
      <c r="O8" s="14">
        <v>0</v>
      </c>
      <c r="P8" s="16">
        <v>0</v>
      </c>
      <c r="Q8" s="14">
        <v>0</v>
      </c>
      <c r="R8" s="16">
        <v>0</v>
      </c>
      <c r="S8" s="14">
        <v>0</v>
      </c>
      <c r="T8" s="16">
        <v>0</v>
      </c>
    </row>
    <row r="9" spans="1:20" x14ac:dyDescent="0.25">
      <c r="A9" s="11" t="s">
        <v>141</v>
      </c>
      <c r="B9" s="13">
        <v>4899</v>
      </c>
      <c r="C9" s="14">
        <f>(4157/B9*100)</f>
        <v>84.854051847315787</v>
      </c>
      <c r="D9" s="15">
        <v>742</v>
      </c>
      <c r="E9" s="14">
        <v>28.925408109999999</v>
      </c>
      <c r="F9" s="16">
        <v>1.5372230200000001</v>
      </c>
      <c r="G9" s="14">
        <v>27.763290229999999</v>
      </c>
      <c r="H9" s="16">
        <v>1.4564585800000001</v>
      </c>
      <c r="I9" s="14">
        <v>43.311301659999998</v>
      </c>
      <c r="J9" s="16">
        <v>1.6823089899999999</v>
      </c>
      <c r="K9" s="14" t="s">
        <v>139</v>
      </c>
      <c r="L9" s="16" t="s">
        <v>139</v>
      </c>
      <c r="M9" s="14">
        <v>0</v>
      </c>
      <c r="N9" s="16">
        <v>0</v>
      </c>
      <c r="O9" s="14">
        <v>0</v>
      </c>
      <c r="P9" s="16">
        <v>0</v>
      </c>
      <c r="Q9" s="14">
        <v>0</v>
      </c>
      <c r="R9" s="16">
        <v>0</v>
      </c>
      <c r="S9" s="14">
        <v>0</v>
      </c>
      <c r="T9" s="16">
        <v>0</v>
      </c>
    </row>
    <row r="10" spans="1:20" x14ac:dyDescent="0.25">
      <c r="A10" s="11" t="s">
        <v>142</v>
      </c>
      <c r="B10" s="13">
        <v>10036</v>
      </c>
      <c r="C10" s="14">
        <f>(8359/B10*100)</f>
        <v>83.290155440414509</v>
      </c>
      <c r="D10" s="15">
        <v>1677</v>
      </c>
      <c r="E10" s="14">
        <v>20.911536210000001</v>
      </c>
      <c r="F10" s="16">
        <v>1.4893954</v>
      </c>
      <c r="G10" s="14">
        <v>20.728687959999998</v>
      </c>
      <c r="H10" s="16">
        <v>1.1710282999999999</v>
      </c>
      <c r="I10" s="14">
        <v>58.359775829999997</v>
      </c>
      <c r="J10" s="16">
        <v>1.5767670199999999</v>
      </c>
      <c r="K10" s="14" t="s">
        <v>139</v>
      </c>
      <c r="L10" s="16" t="s">
        <v>139</v>
      </c>
      <c r="M10" s="14">
        <v>0</v>
      </c>
      <c r="N10" s="16">
        <v>0</v>
      </c>
      <c r="O10" s="14">
        <v>0</v>
      </c>
      <c r="P10" s="16">
        <v>0</v>
      </c>
      <c r="Q10" s="14">
        <v>0</v>
      </c>
      <c r="R10" s="16">
        <v>0</v>
      </c>
      <c r="S10" s="14">
        <v>0</v>
      </c>
      <c r="T10" s="16">
        <v>0</v>
      </c>
    </row>
    <row r="11" spans="1:20" x14ac:dyDescent="0.25">
      <c r="A11" s="11" t="s">
        <v>143</v>
      </c>
      <c r="B11" s="13">
        <v>3553</v>
      </c>
      <c r="C11" s="14">
        <f>(2987/B11*100)</f>
        <v>84.069800168871382</v>
      </c>
      <c r="D11" s="15">
        <v>566</v>
      </c>
      <c r="E11" s="14">
        <v>40.48892532</v>
      </c>
      <c r="F11" s="16">
        <v>2.6012697299999998</v>
      </c>
      <c r="G11" s="14">
        <v>24.90713023</v>
      </c>
      <c r="H11" s="16">
        <v>2.2551747099999999</v>
      </c>
      <c r="I11" s="14">
        <v>34.60394445</v>
      </c>
      <c r="J11" s="16">
        <v>2.2133878999999999</v>
      </c>
      <c r="K11" s="14" t="s">
        <v>139</v>
      </c>
      <c r="L11" s="16" t="s">
        <v>139</v>
      </c>
      <c r="M11" s="14">
        <v>0</v>
      </c>
      <c r="N11" s="16">
        <v>0</v>
      </c>
      <c r="O11" s="14">
        <v>0</v>
      </c>
      <c r="P11" s="16">
        <v>0</v>
      </c>
      <c r="Q11" s="14">
        <v>0</v>
      </c>
      <c r="R11" s="16">
        <v>0</v>
      </c>
      <c r="S11" s="14">
        <v>0</v>
      </c>
      <c r="T11" s="16">
        <v>0</v>
      </c>
    </row>
    <row r="12" spans="1:20" x14ac:dyDescent="0.25">
      <c r="A12" s="11" t="s">
        <v>144</v>
      </c>
      <c r="B12" s="13">
        <v>3472</v>
      </c>
      <c r="C12" s="14">
        <f>(2899/B12*100)</f>
        <v>83.496543778801851</v>
      </c>
      <c r="D12" s="15">
        <v>573</v>
      </c>
      <c r="E12" s="14">
        <v>27.905125680000001</v>
      </c>
      <c r="F12" s="16">
        <v>2.38536269</v>
      </c>
      <c r="G12" s="14">
        <v>29.770705880000001</v>
      </c>
      <c r="H12" s="16">
        <v>2.0984905500000002</v>
      </c>
      <c r="I12" s="14">
        <v>42.324168440000001</v>
      </c>
      <c r="J12" s="16">
        <v>2.3511054499999999</v>
      </c>
      <c r="K12" s="14" t="s">
        <v>139</v>
      </c>
      <c r="L12" s="16" t="s">
        <v>139</v>
      </c>
      <c r="M12" s="14">
        <v>0</v>
      </c>
      <c r="N12" s="16">
        <v>0</v>
      </c>
      <c r="O12" s="14">
        <v>0</v>
      </c>
      <c r="P12" s="16">
        <v>0</v>
      </c>
      <c r="Q12" s="14">
        <v>0</v>
      </c>
      <c r="R12" s="16">
        <v>0</v>
      </c>
      <c r="S12" s="14">
        <v>0</v>
      </c>
      <c r="T12" s="16">
        <v>0</v>
      </c>
    </row>
    <row r="13" spans="1:20" x14ac:dyDescent="0.25">
      <c r="A13" s="11" t="s">
        <v>145</v>
      </c>
      <c r="B13" s="13">
        <v>3559</v>
      </c>
      <c r="C13" s="14">
        <f>(3002/B13*100)</f>
        <v>84.349536386625459</v>
      </c>
      <c r="D13" s="15">
        <v>557</v>
      </c>
      <c r="E13" s="14">
        <v>22.55155671</v>
      </c>
      <c r="F13" s="16">
        <v>1.9259570800000001</v>
      </c>
      <c r="G13" s="14">
        <v>24.811687150000001</v>
      </c>
      <c r="H13" s="16">
        <v>2.0100474500000001</v>
      </c>
      <c r="I13" s="14">
        <v>52.636756140000003</v>
      </c>
      <c r="J13" s="16">
        <v>2.0924403699999998</v>
      </c>
      <c r="K13" s="14" t="s">
        <v>139</v>
      </c>
      <c r="L13" s="16" t="s">
        <v>139</v>
      </c>
      <c r="M13" s="14">
        <v>0</v>
      </c>
      <c r="N13" s="16">
        <v>0</v>
      </c>
      <c r="O13" s="14">
        <v>0</v>
      </c>
      <c r="P13" s="16">
        <v>0</v>
      </c>
      <c r="Q13" s="14">
        <v>0</v>
      </c>
      <c r="R13" s="16">
        <v>0</v>
      </c>
      <c r="S13" s="14">
        <v>0</v>
      </c>
      <c r="T13" s="16">
        <v>0</v>
      </c>
    </row>
    <row r="14" spans="1:20" x14ac:dyDescent="0.25">
      <c r="A14" s="11" t="s">
        <v>146</v>
      </c>
      <c r="B14" s="13">
        <v>2799</v>
      </c>
      <c r="C14" s="14">
        <f>(2325/B14*100)</f>
        <v>83.065380493033231</v>
      </c>
      <c r="D14" s="15">
        <v>474</v>
      </c>
      <c r="E14" s="14">
        <v>26.723832569999999</v>
      </c>
      <c r="F14" s="16">
        <v>2.49394143</v>
      </c>
      <c r="G14" s="14">
        <v>32.67617061</v>
      </c>
      <c r="H14" s="16">
        <v>2.5164255</v>
      </c>
      <c r="I14" s="14">
        <v>40.599996830000002</v>
      </c>
      <c r="J14" s="16">
        <v>2.3731821700000002</v>
      </c>
      <c r="K14" s="14" t="s">
        <v>139</v>
      </c>
      <c r="L14" s="16" t="s">
        <v>139</v>
      </c>
      <c r="M14" s="14">
        <v>0</v>
      </c>
      <c r="N14" s="16">
        <v>0</v>
      </c>
      <c r="O14" s="14">
        <v>0</v>
      </c>
      <c r="P14" s="16">
        <v>0</v>
      </c>
      <c r="Q14" s="14">
        <v>0</v>
      </c>
      <c r="R14" s="16">
        <v>0</v>
      </c>
      <c r="S14" s="14">
        <v>0</v>
      </c>
      <c r="T14" s="16">
        <v>0</v>
      </c>
    </row>
    <row r="15" spans="1:20" x14ac:dyDescent="0.25">
      <c r="A15" s="11" t="s">
        <v>147</v>
      </c>
      <c r="B15" s="13">
        <v>3019</v>
      </c>
      <c r="C15" s="14">
        <f>(2527/B15*100)</f>
        <v>83.703212984431929</v>
      </c>
      <c r="D15" s="15">
        <v>492</v>
      </c>
      <c r="E15" s="14">
        <v>24.67815822</v>
      </c>
      <c r="F15" s="16">
        <v>2.07120126</v>
      </c>
      <c r="G15" s="14">
        <v>22.520050699999999</v>
      </c>
      <c r="H15" s="16">
        <v>1.67995831</v>
      </c>
      <c r="I15" s="14">
        <v>52.801791080000001</v>
      </c>
      <c r="J15" s="16">
        <v>2.1207878500000001</v>
      </c>
      <c r="K15" s="14" t="s">
        <v>139</v>
      </c>
      <c r="L15" s="16" t="s">
        <v>139</v>
      </c>
      <c r="M15" s="14">
        <v>0</v>
      </c>
      <c r="N15" s="16">
        <v>0</v>
      </c>
      <c r="O15" s="14">
        <v>0</v>
      </c>
      <c r="P15" s="16">
        <v>0</v>
      </c>
      <c r="Q15" s="14">
        <v>0</v>
      </c>
      <c r="R15" s="16">
        <v>0</v>
      </c>
      <c r="S15" s="14">
        <v>0</v>
      </c>
      <c r="T15" s="16">
        <v>0</v>
      </c>
    </row>
    <row r="16" spans="1:20" x14ac:dyDescent="0.25">
      <c r="A16" s="11" t="s">
        <v>148</v>
      </c>
      <c r="B16" s="13">
        <v>2997</v>
      </c>
      <c r="C16" s="14">
        <f>(2507/B16*100)</f>
        <v>83.650316983650313</v>
      </c>
      <c r="D16" s="15">
        <v>490</v>
      </c>
      <c r="E16" s="14">
        <v>25.047118009999998</v>
      </c>
      <c r="F16" s="16">
        <v>2.1516405199999999</v>
      </c>
      <c r="G16" s="14">
        <v>25.673818579999999</v>
      </c>
      <c r="H16" s="16">
        <v>1.96474357</v>
      </c>
      <c r="I16" s="14">
        <v>49.279063409999999</v>
      </c>
      <c r="J16" s="16">
        <v>2.0515979</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(2793/B17*100)</f>
        <v>84.457211974599332</v>
      </c>
      <c r="D17" s="15">
        <v>514</v>
      </c>
      <c r="E17" s="14">
        <v>23.276451399999999</v>
      </c>
      <c r="F17" s="16">
        <v>2.1898425100000001</v>
      </c>
      <c r="G17" s="14">
        <v>28.548429380000002</v>
      </c>
      <c r="H17" s="16">
        <v>2.3256526499999999</v>
      </c>
      <c r="I17" s="14">
        <v>48.175119219999999</v>
      </c>
      <c r="J17" s="16">
        <v>2.3307284400000001</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(2342/B18*100)</f>
        <v>82.873319179051663</v>
      </c>
      <c r="D18" s="15">
        <v>484</v>
      </c>
      <c r="E18" s="14">
        <v>43.179101930000002</v>
      </c>
      <c r="F18" s="16">
        <v>2.2307903599999999</v>
      </c>
      <c r="G18" s="14">
        <v>24.860171510000001</v>
      </c>
      <c r="H18" s="16">
        <v>1.90978005</v>
      </c>
      <c r="I18" s="14">
        <v>31.960726560000001</v>
      </c>
      <c r="J18" s="16">
        <v>1.8987396400000001</v>
      </c>
      <c r="K18" s="14" t="s">
        <v>139</v>
      </c>
      <c r="L18" s="16" t="s">
        <v>139</v>
      </c>
      <c r="M18" s="14">
        <v>0</v>
      </c>
      <c r="N18" s="16">
        <v>0</v>
      </c>
      <c r="O18" s="14">
        <v>0</v>
      </c>
      <c r="P18" s="16">
        <v>0</v>
      </c>
      <c r="Q18" s="14">
        <v>0</v>
      </c>
      <c r="R18" s="16">
        <v>0</v>
      </c>
      <c r="S18" s="14">
        <v>0</v>
      </c>
      <c r="T18" s="16">
        <v>0</v>
      </c>
    </row>
    <row r="19" spans="1:20" x14ac:dyDescent="0.25">
      <c r="A19" s="11" t="s">
        <v>151</v>
      </c>
      <c r="B19" s="13">
        <v>2808</v>
      </c>
      <c r="C19" s="14">
        <f>(2354/B19*100)</f>
        <v>83.831908831908834</v>
      </c>
      <c r="D19" s="15">
        <v>454</v>
      </c>
      <c r="E19" s="14">
        <v>33.272721070000003</v>
      </c>
      <c r="F19" s="16">
        <v>2.5997124999999999</v>
      </c>
      <c r="G19" s="14">
        <v>26.331142190000001</v>
      </c>
      <c r="H19" s="16">
        <v>1.66626951</v>
      </c>
      <c r="I19" s="14">
        <v>40.396136740000003</v>
      </c>
      <c r="J19" s="16">
        <v>2.5311483199999998</v>
      </c>
      <c r="K19" s="14" t="s">
        <v>139</v>
      </c>
      <c r="L19" s="16" t="s">
        <v>139</v>
      </c>
      <c r="M19" s="14">
        <v>0</v>
      </c>
      <c r="N19" s="16">
        <v>0</v>
      </c>
      <c r="O19" s="14">
        <v>0</v>
      </c>
      <c r="P19" s="16">
        <v>0</v>
      </c>
      <c r="Q19" s="14">
        <v>0</v>
      </c>
      <c r="R19" s="16">
        <v>0</v>
      </c>
      <c r="S19" s="14">
        <v>0</v>
      </c>
      <c r="T19" s="16">
        <v>0</v>
      </c>
    </row>
    <row r="20" spans="1:20" x14ac:dyDescent="0.25">
      <c r="A20" s="11" t="s">
        <v>152</v>
      </c>
      <c r="B20" s="13">
        <v>1630</v>
      </c>
      <c r="C20" s="14">
        <f>(1359/B20*100)</f>
        <v>83.374233128834348</v>
      </c>
      <c r="D20" s="15">
        <v>271</v>
      </c>
      <c r="E20" s="14">
        <v>29.183290270000001</v>
      </c>
      <c r="F20" s="16">
        <v>2.8761885299999999</v>
      </c>
      <c r="G20" s="14">
        <v>20.84983076</v>
      </c>
      <c r="H20" s="16">
        <v>2.6223294400000001</v>
      </c>
      <c r="I20" s="14">
        <v>49.966878960000003</v>
      </c>
      <c r="J20" s="16">
        <v>3.2841111600000001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(2468/B22*100)</f>
        <v>84.203343568747869</v>
      </c>
      <c r="D22" s="15">
        <v>463</v>
      </c>
      <c r="E22" s="14">
        <v>37.847824070000001</v>
      </c>
      <c r="F22" s="16">
        <v>2.4003457899999998</v>
      </c>
      <c r="G22" s="14">
        <v>22.624594770000002</v>
      </c>
      <c r="H22" s="16">
        <v>2.0055760899999999</v>
      </c>
      <c r="I22" s="14">
        <v>39.527581159999997</v>
      </c>
      <c r="J22" s="16">
        <v>2.2492101899999999</v>
      </c>
      <c r="K22" s="14" t="s">
        <v>139</v>
      </c>
      <c r="L22" s="16" t="s">
        <v>139</v>
      </c>
      <c r="M22" s="14">
        <v>0</v>
      </c>
      <c r="N22" s="16">
        <v>0</v>
      </c>
      <c r="O22" s="14">
        <v>0</v>
      </c>
      <c r="P22" s="16">
        <v>0</v>
      </c>
      <c r="Q22" s="14">
        <v>0</v>
      </c>
      <c r="R22" s="16">
        <v>0</v>
      </c>
      <c r="S22" s="14">
        <v>0</v>
      </c>
      <c r="T22" s="16">
        <v>0</v>
      </c>
    </row>
    <row r="23" spans="1:20" x14ac:dyDescent="0.25">
      <c r="A23" s="11" t="s">
        <v>156</v>
      </c>
      <c r="B23" s="13">
        <v>5791</v>
      </c>
      <c r="C23" s="14">
        <f>(4834/B23*100)</f>
        <v>83.474356760490423</v>
      </c>
      <c r="D23" s="15">
        <v>957</v>
      </c>
      <c r="E23" s="14">
        <v>35.697009520000002</v>
      </c>
      <c r="F23" s="16">
        <v>2.3777442500000001</v>
      </c>
      <c r="G23" s="14">
        <v>27.364001030000001</v>
      </c>
      <c r="H23" s="16">
        <v>1.83163231</v>
      </c>
      <c r="I23" s="14">
        <v>36.938989450000001</v>
      </c>
      <c r="J23" s="16">
        <v>2.5217560300000001</v>
      </c>
      <c r="K23" s="14" t="s">
        <v>139</v>
      </c>
      <c r="L23" s="16" t="s">
        <v>139</v>
      </c>
      <c r="M23" s="14">
        <v>0</v>
      </c>
      <c r="N23" s="16">
        <v>0</v>
      </c>
      <c r="O23" s="14">
        <v>0</v>
      </c>
      <c r="P23" s="16">
        <v>0</v>
      </c>
      <c r="Q23" s="14">
        <v>0</v>
      </c>
      <c r="R23" s="16">
        <v>0</v>
      </c>
      <c r="S23" s="14">
        <v>0</v>
      </c>
      <c r="T23" s="16">
        <v>0</v>
      </c>
    </row>
    <row r="24" spans="1:20" x14ac:dyDescent="0.25">
      <c r="A24" s="11" t="s">
        <v>157</v>
      </c>
      <c r="B24" s="13">
        <v>3338</v>
      </c>
      <c r="C24" s="14">
        <f>(2758/B24*100)</f>
        <v>82.624325943678841</v>
      </c>
      <c r="D24" s="15">
        <v>580</v>
      </c>
      <c r="E24" s="14">
        <v>20.394041850000001</v>
      </c>
      <c r="F24" s="16">
        <v>1.74225067</v>
      </c>
      <c r="G24" s="14">
        <v>27.273654400000002</v>
      </c>
      <c r="H24" s="16">
        <v>1.8942639999999999</v>
      </c>
      <c r="I24" s="14">
        <v>52.332303750000001</v>
      </c>
      <c r="J24" s="16">
        <v>2.38852631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(2407/B25*100)</f>
        <v>82.657967032967022</v>
      </c>
      <c r="D25" s="15">
        <v>505</v>
      </c>
      <c r="E25" s="14">
        <v>27.02018103</v>
      </c>
      <c r="F25" s="16">
        <v>2.2947855399999999</v>
      </c>
      <c r="G25" s="14">
        <v>26.365160419999999</v>
      </c>
      <c r="H25" s="16">
        <v>2.1443382799999999</v>
      </c>
      <c r="I25" s="14">
        <v>46.614658540000001</v>
      </c>
      <c r="J25" s="16">
        <v>2.0690218100000002</v>
      </c>
      <c r="K25" s="14" t="s">
        <v>139</v>
      </c>
      <c r="L25" s="16" t="s">
        <v>139</v>
      </c>
      <c r="M25" s="14">
        <v>0</v>
      </c>
      <c r="N25" s="16">
        <v>0</v>
      </c>
      <c r="O25" s="14">
        <v>0</v>
      </c>
      <c r="P25" s="16">
        <v>0</v>
      </c>
      <c r="Q25" s="14">
        <v>0</v>
      </c>
      <c r="R25" s="16">
        <v>0</v>
      </c>
      <c r="S25" s="14">
        <v>0</v>
      </c>
      <c r="T25" s="16">
        <v>0</v>
      </c>
    </row>
    <row r="26" spans="1:20" x14ac:dyDescent="0.25">
      <c r="A26" s="11" t="s">
        <v>159</v>
      </c>
      <c r="B26" s="13">
        <v>2450</v>
      </c>
      <c r="C26" s="14">
        <f>(2021/B26*100)</f>
        <v>82.489795918367349</v>
      </c>
      <c r="D26" s="15">
        <v>429</v>
      </c>
      <c r="E26" s="14">
        <v>34.066790660000002</v>
      </c>
      <c r="F26" s="16">
        <v>2.15978242</v>
      </c>
      <c r="G26" s="14">
        <v>30.64132979</v>
      </c>
      <c r="H26" s="16">
        <v>2.2787457400000002</v>
      </c>
      <c r="I26" s="14">
        <v>35.291879559999998</v>
      </c>
      <c r="J26" s="16">
        <v>2.28988937</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(2183/B27*100)</f>
        <v>83.448012232415905</v>
      </c>
      <c r="D27" s="15">
        <v>433</v>
      </c>
      <c r="E27" s="14">
        <v>27.0248597</v>
      </c>
      <c r="F27" s="16">
        <v>1.9953534500000001</v>
      </c>
      <c r="G27" s="14">
        <v>29.380186909999999</v>
      </c>
      <c r="H27" s="16">
        <v>2.3223440700000002</v>
      </c>
      <c r="I27" s="14">
        <v>43.594953390000001</v>
      </c>
      <c r="J27" s="16">
        <v>2.0941120799999999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(3198/B28*100)</f>
        <v>84.940239043824704</v>
      </c>
      <c r="D28" s="15">
        <v>567</v>
      </c>
      <c r="E28" s="14">
        <v>49.611717339999998</v>
      </c>
      <c r="F28" s="16">
        <v>2.1808990499999998</v>
      </c>
      <c r="G28" s="14">
        <v>23.407825259999999</v>
      </c>
      <c r="H28" s="16">
        <v>1.72321429</v>
      </c>
      <c r="I28" s="14">
        <v>26.980457390000002</v>
      </c>
      <c r="J28" s="16">
        <v>2.28591459</v>
      </c>
      <c r="K28" s="14" t="s">
        <v>139</v>
      </c>
      <c r="L28" s="16" t="s">
        <v>139</v>
      </c>
      <c r="M28" s="14">
        <v>0</v>
      </c>
      <c r="N28" s="16">
        <v>0</v>
      </c>
      <c r="O28" s="14">
        <v>0</v>
      </c>
      <c r="P28" s="16">
        <v>0</v>
      </c>
      <c r="Q28" s="14">
        <v>0</v>
      </c>
      <c r="R28" s="16">
        <v>0</v>
      </c>
      <c r="S28" s="14">
        <v>0</v>
      </c>
      <c r="T28" s="16">
        <v>0</v>
      </c>
    </row>
    <row r="29" spans="1:20" x14ac:dyDescent="0.25">
      <c r="A29" s="11" t="s">
        <v>162</v>
      </c>
      <c r="B29" s="13">
        <v>2685</v>
      </c>
      <c r="C29" s="14">
        <f>(2224/B29*100)</f>
        <v>82.830540037243949</v>
      </c>
      <c r="D29" s="15">
        <v>461</v>
      </c>
      <c r="E29" s="14">
        <v>25.386417170000001</v>
      </c>
      <c r="F29" s="16">
        <v>2.2159359300000001</v>
      </c>
      <c r="G29" s="14">
        <v>27.714859820000001</v>
      </c>
      <c r="H29" s="16">
        <v>2.01891854</v>
      </c>
      <c r="I29" s="14">
        <v>46.898723009999998</v>
      </c>
      <c r="J29" s="16">
        <v>2.4922258300000002</v>
      </c>
      <c r="K29" s="14" t="s">
        <v>139</v>
      </c>
      <c r="L29" s="16" t="s">
        <v>139</v>
      </c>
      <c r="M29" s="14">
        <v>0</v>
      </c>
      <c r="N29" s="16">
        <v>0</v>
      </c>
      <c r="O29" s="14">
        <v>0</v>
      </c>
      <c r="P29" s="16">
        <v>0</v>
      </c>
      <c r="Q29" s="14">
        <v>0</v>
      </c>
      <c r="R29" s="16">
        <v>0</v>
      </c>
      <c r="S29" s="14">
        <v>0</v>
      </c>
      <c r="T29" s="16">
        <v>0</v>
      </c>
    </row>
    <row r="30" spans="1:20" x14ac:dyDescent="0.25">
      <c r="A30" s="11" t="s">
        <v>163</v>
      </c>
      <c r="B30" s="13">
        <v>2263</v>
      </c>
      <c r="C30" s="14">
        <f>(1882/B30*100)</f>
        <v>83.163941670349089</v>
      </c>
      <c r="D30" s="15">
        <v>381</v>
      </c>
      <c r="E30" s="14">
        <v>23.583084419999999</v>
      </c>
      <c r="F30" s="16">
        <v>2.1533167999999998</v>
      </c>
      <c r="G30" s="14">
        <v>18.185373720000001</v>
      </c>
      <c r="H30" s="16">
        <v>2.0486332300000001</v>
      </c>
      <c r="I30" s="14">
        <v>58.23154186</v>
      </c>
      <c r="J30" s="16">
        <v>2.7323852999999998</v>
      </c>
      <c r="K30" s="14" t="s">
        <v>139</v>
      </c>
      <c r="L30" s="16" t="s">
        <v>139</v>
      </c>
      <c r="M30" s="14">
        <v>0</v>
      </c>
      <c r="N30" s="16">
        <v>0</v>
      </c>
      <c r="O30" s="14">
        <v>0</v>
      </c>
      <c r="P30" s="16">
        <v>0</v>
      </c>
      <c r="Q30" s="14">
        <v>0</v>
      </c>
      <c r="R30" s="16">
        <v>0</v>
      </c>
      <c r="S30" s="14">
        <v>0</v>
      </c>
      <c r="T30" s="16">
        <v>0</v>
      </c>
    </row>
    <row r="31" spans="1:20" x14ac:dyDescent="0.25">
      <c r="A31" s="11" t="s">
        <v>164</v>
      </c>
      <c r="B31" s="13">
        <v>2750</v>
      </c>
      <c r="C31" s="14">
        <f>(2316/B31*100)</f>
        <v>84.218181818181819</v>
      </c>
      <c r="D31" s="15">
        <v>434</v>
      </c>
      <c r="E31" s="14">
        <v>32.024159009999998</v>
      </c>
      <c r="F31" s="16">
        <v>2.3006898100000002</v>
      </c>
      <c r="G31" s="14">
        <v>30.946798279999999</v>
      </c>
      <c r="H31" s="16">
        <v>2.1803885599999999</v>
      </c>
      <c r="I31" s="14">
        <v>37.029042709999999</v>
      </c>
      <c r="J31" s="16">
        <v>2.2623001199999999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(3112/B33*100)</f>
        <v>84.703320631464337</v>
      </c>
      <c r="D33" s="15">
        <v>562</v>
      </c>
      <c r="E33" s="14">
        <v>28.325130059999999</v>
      </c>
      <c r="F33" s="16">
        <v>2.0385499299999998</v>
      </c>
      <c r="G33" s="14">
        <v>29.66415735</v>
      </c>
      <c r="H33" s="16">
        <v>2.22375919</v>
      </c>
      <c r="I33" s="14">
        <v>42.010712599999998</v>
      </c>
      <c r="J33" s="16">
        <v>2.05487127</v>
      </c>
      <c r="K33" s="14" t="s">
        <v>139</v>
      </c>
      <c r="L33" s="16" t="s">
        <v>139</v>
      </c>
      <c r="M33" s="14">
        <v>0</v>
      </c>
      <c r="N33" s="16">
        <v>0</v>
      </c>
      <c r="O33" s="14">
        <v>0</v>
      </c>
      <c r="P33" s="16">
        <v>0</v>
      </c>
      <c r="Q33" s="14">
        <v>0</v>
      </c>
      <c r="R33" s="16">
        <v>0</v>
      </c>
      <c r="S33" s="14">
        <v>0</v>
      </c>
      <c r="T33" s="16">
        <v>0</v>
      </c>
    </row>
    <row r="34" spans="1:20" x14ac:dyDescent="0.25">
      <c r="A34" s="11" t="s">
        <v>167</v>
      </c>
      <c r="B34" s="13">
        <v>3315</v>
      </c>
      <c r="C34" s="14">
        <f>(2770/B34*100)</f>
        <v>83.559577677224738</v>
      </c>
      <c r="D34" s="15">
        <v>545</v>
      </c>
      <c r="E34" s="14">
        <v>35.622335030000002</v>
      </c>
      <c r="F34" s="16">
        <v>2.0564039900000002</v>
      </c>
      <c r="G34" s="14">
        <v>27.309615839999999</v>
      </c>
      <c r="H34" s="16">
        <v>2.1879800199999999</v>
      </c>
      <c r="I34" s="14">
        <v>37.068049129999999</v>
      </c>
      <c r="J34" s="16">
        <v>2.38811397</v>
      </c>
      <c r="K34" s="14" t="s">
        <v>139</v>
      </c>
      <c r="L34" s="16" t="s">
        <v>139</v>
      </c>
      <c r="M34" s="14">
        <v>0</v>
      </c>
      <c r="N34" s="16">
        <v>0</v>
      </c>
      <c r="O34" s="14">
        <v>0</v>
      </c>
      <c r="P34" s="16">
        <v>0</v>
      </c>
      <c r="Q34" s="14">
        <v>0</v>
      </c>
      <c r="R34" s="16">
        <v>0</v>
      </c>
      <c r="S34" s="14">
        <v>0</v>
      </c>
      <c r="T34" s="16">
        <v>0</v>
      </c>
    </row>
    <row r="35" spans="1:20" x14ac:dyDescent="0.25">
      <c r="A35" s="11" t="s">
        <v>168</v>
      </c>
      <c r="B35" s="13">
        <v>3505</v>
      </c>
      <c r="C35" s="14">
        <f>(2913/B35*100)</f>
        <v>83.109843081312405</v>
      </c>
      <c r="D35" s="15">
        <v>592</v>
      </c>
      <c r="E35" s="14">
        <v>30.347379419999999</v>
      </c>
      <c r="F35" s="16">
        <v>2.2271221699999999</v>
      </c>
      <c r="G35" s="14">
        <v>32.97828724</v>
      </c>
      <c r="H35" s="16">
        <v>2.4985150900000002</v>
      </c>
      <c r="I35" s="14">
        <v>36.674333339999997</v>
      </c>
      <c r="J35" s="16">
        <v>2.2705975199999999</v>
      </c>
      <c r="K35" s="14" t="s">
        <v>139</v>
      </c>
      <c r="L35" s="16" t="s">
        <v>139</v>
      </c>
      <c r="M35" s="14">
        <v>0</v>
      </c>
      <c r="N35" s="16">
        <v>0</v>
      </c>
      <c r="O35" s="14">
        <v>0</v>
      </c>
      <c r="P35" s="16">
        <v>0</v>
      </c>
      <c r="Q35" s="14">
        <v>0</v>
      </c>
      <c r="R35" s="16">
        <v>0</v>
      </c>
      <c r="S35" s="14">
        <v>0</v>
      </c>
      <c r="T35" s="16">
        <v>0</v>
      </c>
    </row>
    <row r="36" spans="1:20" x14ac:dyDescent="0.25">
      <c r="A36" s="11" t="s">
        <v>169</v>
      </c>
      <c r="B36" s="13">
        <v>3332</v>
      </c>
      <c r="C36" s="14">
        <f>(2794/B36*100)</f>
        <v>83.853541416566628</v>
      </c>
      <c r="D36" s="15">
        <v>538</v>
      </c>
      <c r="E36" s="14">
        <v>30.269602419999998</v>
      </c>
      <c r="F36" s="16">
        <v>2.26417468</v>
      </c>
      <c r="G36" s="14">
        <v>25.602035780000001</v>
      </c>
      <c r="H36" s="16">
        <v>1.6600780100000001</v>
      </c>
      <c r="I36" s="14">
        <v>44.1283618</v>
      </c>
      <c r="J36" s="16">
        <v>2.33294545</v>
      </c>
      <c r="K36" s="14" t="s">
        <v>139</v>
      </c>
      <c r="L36" s="16" t="s">
        <v>139</v>
      </c>
      <c r="M36" s="14">
        <v>0</v>
      </c>
      <c r="N36" s="16">
        <v>0</v>
      </c>
      <c r="O36" s="14">
        <v>0</v>
      </c>
      <c r="P36" s="16">
        <v>0</v>
      </c>
      <c r="Q36" s="14">
        <v>0</v>
      </c>
      <c r="R36" s="16">
        <v>0</v>
      </c>
      <c r="S36" s="14">
        <v>0</v>
      </c>
      <c r="T36" s="16">
        <v>0</v>
      </c>
    </row>
    <row r="37" spans="1:20" x14ac:dyDescent="0.25">
      <c r="A37" s="11" t="s">
        <v>170</v>
      </c>
      <c r="B37" s="13">
        <v>2727</v>
      </c>
      <c r="C37" s="14">
        <f>(2287/B37*100)</f>
        <v>83.86505317198386</v>
      </c>
      <c r="D37" s="15">
        <v>440</v>
      </c>
      <c r="E37" s="14">
        <v>31.36946228</v>
      </c>
      <c r="F37" s="16">
        <v>2.2877940899999998</v>
      </c>
      <c r="G37" s="14">
        <v>29.690735839999999</v>
      </c>
      <c r="H37" s="16">
        <v>2.5431670500000001</v>
      </c>
      <c r="I37" s="14">
        <v>38.939801869999997</v>
      </c>
      <c r="J37" s="16">
        <v>2.9761076399999999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(2460/B39*100)</f>
        <v>83.192424754819072</v>
      </c>
      <c r="D39" s="15">
        <v>497</v>
      </c>
      <c r="E39" s="14">
        <v>52.449546769999998</v>
      </c>
      <c r="F39" s="16">
        <v>1.94639012</v>
      </c>
      <c r="G39" s="14">
        <v>27.187176059999999</v>
      </c>
      <c r="H39" s="16">
        <v>1.6309308600000001</v>
      </c>
      <c r="I39" s="14">
        <v>20.36327717</v>
      </c>
      <c r="J39" s="16">
        <v>2.13849051</v>
      </c>
      <c r="K39" s="14" t="s">
        <v>139</v>
      </c>
      <c r="L39" s="16" t="s">
        <v>139</v>
      </c>
      <c r="M39" s="14">
        <v>0</v>
      </c>
      <c r="N39" s="16">
        <v>0</v>
      </c>
      <c r="O39" s="14">
        <v>0</v>
      </c>
      <c r="P39" s="16">
        <v>0</v>
      </c>
      <c r="Q39" s="14">
        <v>0</v>
      </c>
      <c r="R39" s="16">
        <v>0</v>
      </c>
      <c r="S39" s="14">
        <v>0</v>
      </c>
      <c r="T39" s="16">
        <v>0</v>
      </c>
    </row>
    <row r="40" spans="1:20" x14ac:dyDescent="0.25">
      <c r="A40" s="11" t="s">
        <v>173</v>
      </c>
      <c r="B40" s="13">
        <v>7235</v>
      </c>
      <c r="C40" s="14">
        <f>(5988/B40*100)</f>
        <v>82.764340013821709</v>
      </c>
      <c r="D40" s="15">
        <v>1247</v>
      </c>
      <c r="E40" s="14">
        <v>24.72368432</v>
      </c>
      <c r="F40" s="16">
        <v>2.2528899400000002</v>
      </c>
      <c r="G40" s="14">
        <v>28.66051139</v>
      </c>
      <c r="H40" s="16">
        <v>2.2007390600000001</v>
      </c>
      <c r="I40" s="14">
        <v>46.61580429</v>
      </c>
      <c r="J40" s="16">
        <v>2.08785117</v>
      </c>
      <c r="K40" s="14" t="s">
        <v>139</v>
      </c>
      <c r="L40" s="16" t="s">
        <v>139</v>
      </c>
      <c r="M40" s="14">
        <v>0</v>
      </c>
      <c r="N40" s="16">
        <v>0</v>
      </c>
      <c r="O40" s="14">
        <v>0</v>
      </c>
      <c r="P40" s="16">
        <v>0</v>
      </c>
      <c r="Q40" s="14">
        <v>0</v>
      </c>
      <c r="R40" s="16">
        <v>0</v>
      </c>
      <c r="S40" s="14">
        <v>0</v>
      </c>
      <c r="T40" s="16">
        <v>0</v>
      </c>
    </row>
    <row r="41" spans="1:20" x14ac:dyDescent="0.25">
      <c r="A41" s="11" t="s">
        <v>174</v>
      </c>
      <c r="B41" s="13">
        <v>2858</v>
      </c>
      <c r="C41" s="14">
        <f>(2418/B41*100)</f>
        <v>84.604618614415671</v>
      </c>
      <c r="D41" s="15">
        <v>440</v>
      </c>
      <c r="E41" s="14">
        <v>22.298827070000002</v>
      </c>
      <c r="F41" s="16">
        <v>1.9303447300000001</v>
      </c>
      <c r="G41" s="14">
        <v>22.511874769999999</v>
      </c>
      <c r="H41" s="16">
        <v>1.9327863999999999</v>
      </c>
      <c r="I41" s="14">
        <v>55.18929816</v>
      </c>
      <c r="J41" s="16">
        <v>2.2383156299999998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83.60392130216816</v>
      </c>
      <c r="D42" s="15">
        <f>IF(COUNT(D7:D41) &gt; 0, AVERAGE(D7:D41), "—")</f>
        <v>599.09375</v>
      </c>
      <c r="E42" s="14">
        <f>IF(COUNT(E7:E41) &gt; 0, AVERAGE(E7:E41), "—")</f>
        <v>29.950319610624998</v>
      </c>
      <c r="F42" s="16">
        <f>IF(COUNT(F7:F41) &gt; 0, SQRT(SUMSQ(F7:F41)/(COUNT(F7:F41)*COUNT(F7:F41)) ), "—")</f>
        <v>0.38186124011730527</v>
      </c>
      <c r="G42" s="14">
        <f>IF(COUNT(G7:G41) &gt; 0, AVERAGE(G7:G41), "—")</f>
        <v>26.494252512187497</v>
      </c>
      <c r="H42" s="16">
        <f>IF(COUNT(H7:H41) &gt; 0, SQRT(SUMSQ(H7:H41)/(COUNT(H7:H41)*COUNT(H7:H41)) ), "—")</f>
        <v>0.36149303401842026</v>
      </c>
      <c r="I42" s="14">
        <f>IF(COUNT(I7:I41) &gt; 0, AVERAGE(I7:I41), "—")</f>
        <v>43.555427876874994</v>
      </c>
      <c r="J42" s="16">
        <f>IF(COUNT(J7:J41) &gt; 0, SQRT(SUMSQ(J7:J41)/(COUNT(J7:J41)*COUNT(J7:J41)) ), "—")</f>
        <v>0.40263144956031127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(9818/B46*100)</f>
        <v>88.706179978315873</v>
      </c>
      <c r="D46" s="15">
        <v>1250</v>
      </c>
      <c r="E46" s="14">
        <v>51.805000929999999</v>
      </c>
      <c r="F46" s="16">
        <v>1.7503403399999999</v>
      </c>
      <c r="G46" s="14">
        <v>21.499254610000001</v>
      </c>
      <c r="H46" s="16">
        <v>1.4166583100000001</v>
      </c>
      <c r="I46" s="14">
        <v>26.69574446</v>
      </c>
      <c r="J46" s="16">
        <v>1.42067068</v>
      </c>
      <c r="K46" s="14" t="s">
        <v>139</v>
      </c>
      <c r="L46" s="16" t="s">
        <v>139</v>
      </c>
      <c r="M46" s="14">
        <v>0</v>
      </c>
      <c r="N46" s="16">
        <v>0</v>
      </c>
      <c r="O46" s="14">
        <v>0</v>
      </c>
      <c r="P46" s="16">
        <v>0</v>
      </c>
      <c r="Q46" s="14">
        <v>0</v>
      </c>
      <c r="R46" s="16">
        <v>0</v>
      </c>
      <c r="S46" s="14">
        <v>0</v>
      </c>
      <c r="T46" s="16">
        <v>0</v>
      </c>
    </row>
    <row r="47" spans="1:20" x14ac:dyDescent="0.25">
      <c r="A47" s="11" t="s">
        <v>180</v>
      </c>
      <c r="B47" s="13">
        <v>3105</v>
      </c>
      <c r="C47" s="14">
        <f>(2608/B47*100)</f>
        <v>83.993558776167475</v>
      </c>
      <c r="D47" s="15">
        <v>497</v>
      </c>
      <c r="E47" s="14">
        <v>45.578555540000004</v>
      </c>
      <c r="F47" s="16">
        <v>2.6091514400000002</v>
      </c>
      <c r="G47" s="14">
        <v>25.700838560000001</v>
      </c>
      <c r="H47" s="16">
        <v>2.15375081</v>
      </c>
      <c r="I47" s="14">
        <v>28.720605899999999</v>
      </c>
      <c r="J47" s="16">
        <v>1.91606264</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(4299/B48*100)</f>
        <v>83.330102733087813</v>
      </c>
      <c r="D48" s="15">
        <v>860</v>
      </c>
      <c r="E48" s="14">
        <v>36.908919990000001</v>
      </c>
      <c r="F48" s="16">
        <v>2.2730222699999998</v>
      </c>
      <c r="G48" s="14">
        <v>30.452855</v>
      </c>
      <c r="H48" s="16">
        <v>1.9568980499999999</v>
      </c>
      <c r="I48" s="14">
        <v>32.638225009999999</v>
      </c>
      <c r="J48" s="16">
        <v>2.0177087500000002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(4763/B50*100)</f>
        <v>84.495298917864119</v>
      </c>
      <c r="D50" s="15">
        <v>874</v>
      </c>
      <c r="E50" s="14">
        <v>54.714220230000002</v>
      </c>
      <c r="F50" s="16">
        <v>2.0633694500000002</v>
      </c>
      <c r="G50" s="14">
        <v>16.90650802</v>
      </c>
      <c r="H50" s="16">
        <v>1.4091058700000001</v>
      </c>
      <c r="I50" s="14">
        <v>28.379271750000001</v>
      </c>
      <c r="J50" s="16">
        <v>2.18801238</v>
      </c>
      <c r="K50" s="14" t="s">
        <v>139</v>
      </c>
      <c r="L50" s="16" t="s">
        <v>139</v>
      </c>
      <c r="M50" s="14">
        <v>0</v>
      </c>
      <c r="N50" s="16">
        <v>0</v>
      </c>
      <c r="O50" s="14">
        <v>0</v>
      </c>
      <c r="P50" s="16">
        <v>0</v>
      </c>
      <c r="Q50" s="14">
        <v>0</v>
      </c>
      <c r="R50" s="16">
        <v>0</v>
      </c>
      <c r="S50" s="14">
        <v>0</v>
      </c>
      <c r="T50" s="16">
        <v>0</v>
      </c>
    </row>
    <row r="51" spans="1:20" x14ac:dyDescent="0.25">
      <c r="A51" s="11" t="s">
        <v>184</v>
      </c>
      <c r="B51" s="13">
        <v>3372</v>
      </c>
      <c r="C51" s="14">
        <f>(2920/B51*100)</f>
        <v>86.595492289442461</v>
      </c>
      <c r="D51" s="15">
        <v>452</v>
      </c>
      <c r="E51" s="14">
        <v>50.049003749999997</v>
      </c>
      <c r="F51" s="16">
        <v>2.4437698399999999</v>
      </c>
      <c r="G51" s="14">
        <v>24.964967359999999</v>
      </c>
      <c r="H51" s="16">
        <v>2.0023892499999998</v>
      </c>
      <c r="I51" s="14">
        <v>24.98602889</v>
      </c>
      <c r="J51" s="16">
        <v>2.2734800700000002</v>
      </c>
      <c r="K51" s="14" t="s">
        <v>139</v>
      </c>
      <c r="L51" s="16" t="s">
        <v>139</v>
      </c>
      <c r="M51" s="14">
        <v>0</v>
      </c>
      <c r="N51" s="16">
        <v>0</v>
      </c>
      <c r="O51" s="14">
        <v>0</v>
      </c>
      <c r="P51" s="16">
        <v>0</v>
      </c>
      <c r="Q51" s="14">
        <v>0</v>
      </c>
      <c r="R51" s="16">
        <v>0</v>
      </c>
      <c r="S51" s="14">
        <v>0</v>
      </c>
      <c r="T51" s="16">
        <v>0</v>
      </c>
    </row>
    <row r="52" spans="1:20" x14ac:dyDescent="0.25">
      <c r="A52" s="11" t="s">
        <v>185</v>
      </c>
      <c r="B52" s="13">
        <v>2796</v>
      </c>
      <c r="C52" s="14">
        <f>(2315/B52*100)</f>
        <v>82.796852646638058</v>
      </c>
      <c r="D52" s="15">
        <v>481</v>
      </c>
      <c r="E52" s="14">
        <v>44.754834610000003</v>
      </c>
      <c r="F52" s="16">
        <v>2.3444135199999998</v>
      </c>
      <c r="G52" s="14">
        <v>30.85113526</v>
      </c>
      <c r="H52" s="16">
        <v>2.3671288399999999</v>
      </c>
      <c r="I52" s="14">
        <v>24.394030130000001</v>
      </c>
      <c r="J52" s="16">
        <v>1.6321821000000001</v>
      </c>
      <c r="K52" s="14" t="s">
        <v>139</v>
      </c>
      <c r="L52" s="16" t="s">
        <v>139</v>
      </c>
      <c r="M52" s="14">
        <v>0</v>
      </c>
      <c r="N52" s="16">
        <v>0</v>
      </c>
      <c r="O52" s="14">
        <v>0</v>
      </c>
      <c r="P52" s="16">
        <v>0</v>
      </c>
      <c r="Q52" s="14">
        <v>0</v>
      </c>
      <c r="R52" s="16">
        <v>0</v>
      </c>
      <c r="S52" s="14">
        <v>0</v>
      </c>
      <c r="T52" s="16">
        <v>0</v>
      </c>
    </row>
    <row r="53" spans="1:20" x14ac:dyDescent="0.25">
      <c r="A53" s="11" t="s">
        <v>186</v>
      </c>
      <c r="B53" s="13">
        <v>2811</v>
      </c>
      <c r="C53" s="14">
        <f>(2347/B53*100)</f>
        <v>83.493418712202057</v>
      </c>
      <c r="D53" s="15">
        <v>464</v>
      </c>
      <c r="E53" s="14">
        <v>40.5060541</v>
      </c>
      <c r="F53" s="16">
        <v>2.2453679700000002</v>
      </c>
      <c r="G53" s="14">
        <v>29.420069689999998</v>
      </c>
      <c r="H53" s="16">
        <v>2.1180121700000001</v>
      </c>
      <c r="I53" s="14">
        <v>30.073876210000002</v>
      </c>
      <c r="J53" s="16">
        <v>1.9014798900000001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(2245/B56*100)</f>
        <v>83.643815201192254</v>
      </c>
      <c r="D56" s="15">
        <v>439</v>
      </c>
      <c r="E56" s="14">
        <v>16.73560638</v>
      </c>
      <c r="F56" s="16">
        <v>1.93534651</v>
      </c>
      <c r="G56" s="14">
        <v>32.820385000000002</v>
      </c>
      <c r="H56" s="16">
        <v>2.1996581499999999</v>
      </c>
      <c r="I56" s="14">
        <v>50.444008619999998</v>
      </c>
      <c r="J56" s="16">
        <v>2.1907793099999999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(2768/B61*100)</f>
        <v>83.273164861612514</v>
      </c>
      <c r="D61" s="15">
        <v>556</v>
      </c>
      <c r="E61" s="14">
        <v>37.910109800000001</v>
      </c>
      <c r="F61" s="16">
        <v>2.44794972</v>
      </c>
      <c r="G61" s="14">
        <v>29.56968552</v>
      </c>
      <c r="H61" s="16">
        <v>2.2593976699999998</v>
      </c>
      <c r="I61" s="14">
        <v>32.520204679999999</v>
      </c>
      <c r="J61" s="16">
        <v>2.1236959899999999</v>
      </c>
      <c r="K61" s="14" t="s">
        <v>139</v>
      </c>
      <c r="L61" s="16" t="s">
        <v>139</v>
      </c>
      <c r="M61" s="14">
        <v>0</v>
      </c>
      <c r="N61" s="16">
        <v>0</v>
      </c>
      <c r="O61" s="14">
        <v>0</v>
      </c>
      <c r="P61" s="16">
        <v>0</v>
      </c>
      <c r="Q61" s="14">
        <v>0</v>
      </c>
      <c r="R61" s="16">
        <v>0</v>
      </c>
      <c r="S61" s="14">
        <v>0</v>
      </c>
      <c r="T61" s="16">
        <v>0</v>
      </c>
    </row>
    <row r="62" spans="1:20" x14ac:dyDescent="0.25">
      <c r="A62" s="11" t="s">
        <v>195</v>
      </c>
      <c r="B62" s="13">
        <v>2246</v>
      </c>
      <c r="C62" s="14">
        <f>(1864/B62*100)</f>
        <v>82.991985752448798</v>
      </c>
      <c r="D62" s="15">
        <v>382</v>
      </c>
      <c r="E62" s="14">
        <v>23.608109819999999</v>
      </c>
      <c r="F62" s="16">
        <v>1.9936376899999999</v>
      </c>
      <c r="G62" s="14">
        <v>31.69241968</v>
      </c>
      <c r="H62" s="16">
        <v>2.47061055</v>
      </c>
      <c r="I62" s="14">
        <v>44.699470499999997</v>
      </c>
      <c r="J62" s="16">
        <v>2.3533550399999998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(2421/B66*100)</f>
        <v>83.655839668279199</v>
      </c>
      <c r="D66" s="15">
        <v>473</v>
      </c>
      <c r="E66" s="14">
        <v>60.167893249999999</v>
      </c>
      <c r="F66" s="16">
        <v>2.31879678</v>
      </c>
      <c r="G66" s="14">
        <v>24.904560010000001</v>
      </c>
      <c r="H66" s="16">
        <v>1.9329494899999999</v>
      </c>
      <c r="I66" s="14">
        <v>14.92754674</v>
      </c>
      <c r="J66" s="16">
        <v>1.68168758</v>
      </c>
      <c r="K66" s="14" t="s">
        <v>139</v>
      </c>
      <c r="L66" s="16" t="s">
        <v>139</v>
      </c>
      <c r="M66" s="14">
        <v>0</v>
      </c>
      <c r="N66" s="16">
        <v>0</v>
      </c>
      <c r="O66" s="14">
        <v>0</v>
      </c>
      <c r="P66" s="16">
        <v>0</v>
      </c>
      <c r="Q66" s="14">
        <v>0</v>
      </c>
      <c r="R66" s="16">
        <v>0</v>
      </c>
      <c r="S66" s="14">
        <v>0</v>
      </c>
      <c r="T66" s="16">
        <v>0</v>
      </c>
    </row>
    <row r="67" spans="1:20" x14ac:dyDescent="0.25">
      <c r="A67" s="11" t="s">
        <v>200</v>
      </c>
      <c r="B67" s="13">
        <v>3511</v>
      </c>
      <c r="C67" s="14">
        <f>(3057/B67*100)</f>
        <v>87.069211050982631</v>
      </c>
      <c r="D67" s="15">
        <v>454</v>
      </c>
      <c r="E67" s="14">
        <v>55.659047200000003</v>
      </c>
      <c r="F67" s="16">
        <v>2.1255349799999999</v>
      </c>
      <c r="G67" s="14">
        <v>19.644366890000001</v>
      </c>
      <c r="H67" s="16">
        <v>1.7051078500000001</v>
      </c>
      <c r="I67" s="14">
        <v>24.69658591</v>
      </c>
      <c r="J67" s="16">
        <v>1.8858052000000001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(2454/B70*100)</f>
        <v>83.782861044725166</v>
      </c>
      <c r="D70" s="15">
        <v>475</v>
      </c>
      <c r="E70" s="14">
        <v>37.251268949999996</v>
      </c>
      <c r="F70" s="16">
        <v>2.5254514800000001</v>
      </c>
      <c r="G70" s="14">
        <v>29.826113629999998</v>
      </c>
      <c r="H70" s="16">
        <v>2.4524143299999999</v>
      </c>
      <c r="I70" s="14">
        <v>32.922617420000002</v>
      </c>
      <c r="J70" s="16">
        <v>2.5902303999999998</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(3228/B72*100)</f>
        <v>83.00334276163538</v>
      </c>
      <c r="D72" s="15">
        <v>661</v>
      </c>
      <c r="E72" s="14">
        <v>28.536779809999999</v>
      </c>
      <c r="F72" s="16">
        <v>1.83706953</v>
      </c>
      <c r="G72" s="14">
        <v>33.49684714</v>
      </c>
      <c r="H72" s="16">
        <v>1.9552556000000001</v>
      </c>
      <c r="I72" s="14">
        <v>37.966373050000001</v>
      </c>
      <c r="J72" s="16">
        <v>1.93099205</v>
      </c>
      <c r="K72" s="14" t="s">
        <v>139</v>
      </c>
      <c r="L72" s="16" t="s">
        <v>139</v>
      </c>
      <c r="M72" s="14">
        <v>0</v>
      </c>
      <c r="N72" s="16">
        <v>0</v>
      </c>
      <c r="O72" s="14">
        <v>0</v>
      </c>
      <c r="P72" s="16">
        <v>0</v>
      </c>
      <c r="Q72" s="14">
        <v>0</v>
      </c>
      <c r="R72" s="16">
        <v>0</v>
      </c>
      <c r="S72" s="14">
        <v>0</v>
      </c>
      <c r="T72" s="16">
        <v>0</v>
      </c>
    </row>
    <row r="73" spans="1:20" x14ac:dyDescent="0.25">
      <c r="A73" s="11" t="s">
        <v>206</v>
      </c>
      <c r="B73" s="13">
        <v>3597</v>
      </c>
      <c r="C73" s="14">
        <f>(3033/B73*100)</f>
        <v>84.320266889074219</v>
      </c>
      <c r="D73" s="15">
        <v>564</v>
      </c>
      <c r="E73" s="14">
        <v>61.817113210000002</v>
      </c>
      <c r="F73" s="16">
        <v>2.6273938399999999</v>
      </c>
      <c r="G73" s="14">
        <v>19.8524852</v>
      </c>
      <c r="H73" s="16">
        <v>1.86938074</v>
      </c>
      <c r="I73" s="14">
        <v>18.330401599999998</v>
      </c>
      <c r="J73" s="16">
        <v>2.1087179699999998</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(2045/B75*100)</f>
        <v>84.995843724023274</v>
      </c>
      <c r="D75" s="15">
        <v>361</v>
      </c>
      <c r="E75" s="14">
        <v>62.50138699</v>
      </c>
      <c r="F75" s="16">
        <v>2.7774871499999998</v>
      </c>
      <c r="G75" s="14">
        <v>20.869987819999999</v>
      </c>
      <c r="H75" s="16">
        <v>2.26618122</v>
      </c>
      <c r="I75" s="14">
        <v>16.628625190000001</v>
      </c>
      <c r="J75" s="16">
        <v>1.9987994600000001</v>
      </c>
      <c r="K75" s="14" t="s">
        <v>139</v>
      </c>
      <c r="L75" s="16" t="s">
        <v>139</v>
      </c>
      <c r="M75" s="14">
        <v>0</v>
      </c>
      <c r="N75" s="16">
        <v>0</v>
      </c>
      <c r="O75" s="14">
        <v>0</v>
      </c>
      <c r="P75" s="16">
        <v>0</v>
      </c>
      <c r="Q75" s="14">
        <v>0</v>
      </c>
      <c r="R75" s="16">
        <v>0</v>
      </c>
      <c r="S75" s="14">
        <v>0</v>
      </c>
      <c r="T75" s="16">
        <v>0</v>
      </c>
    </row>
    <row r="76" spans="1:20" x14ac:dyDescent="0.25">
      <c r="A76" s="11" t="s">
        <v>209</v>
      </c>
      <c r="B76" s="13">
        <v>7052</v>
      </c>
      <c r="C76" s="14">
        <f>(5886/B76*100)</f>
        <v>83.465683494044242</v>
      </c>
      <c r="D76" s="15">
        <v>1166</v>
      </c>
      <c r="E76" s="14">
        <v>46.88022376</v>
      </c>
      <c r="F76" s="16">
        <v>1.7420541700000001</v>
      </c>
      <c r="G76" s="14">
        <v>22.879082520000001</v>
      </c>
      <c r="H76" s="16">
        <v>1.50300269</v>
      </c>
      <c r="I76" s="14">
        <v>30.240693719999999</v>
      </c>
      <c r="J76" s="16">
        <v>1.4690291600000001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(2448/B77*100)</f>
        <v>84.181568088033004</v>
      </c>
      <c r="D77" s="15">
        <v>460</v>
      </c>
      <c r="E77" s="14">
        <v>45.597372919999998</v>
      </c>
      <c r="F77" s="16">
        <v>2.5978477400000002</v>
      </c>
      <c r="G77" s="14">
        <v>22.5836565</v>
      </c>
      <c r="H77" s="16">
        <v>2.06505465</v>
      </c>
      <c r="I77" s="14">
        <v>31.818970579999998</v>
      </c>
      <c r="J77" s="16">
        <v>2.3516780100000001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(3448/B81*100)</f>
        <v>82.824885899591635</v>
      </c>
      <c r="D81" s="15">
        <v>715</v>
      </c>
      <c r="E81" s="14">
        <v>37.690881670000003</v>
      </c>
      <c r="F81" s="16">
        <v>2.2856483000000001</v>
      </c>
      <c r="G81" s="14">
        <v>25.418398199999999</v>
      </c>
      <c r="H81" s="16">
        <v>1.9140022000000001</v>
      </c>
      <c r="I81" s="14">
        <v>36.890720129999998</v>
      </c>
      <c r="J81" s="16">
        <v>2.0214764299999999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44.30046746</v>
      </c>
      <c r="F7" s="16">
        <v>1.86755118</v>
      </c>
      <c r="G7" s="14">
        <v>55.69953254</v>
      </c>
      <c r="H7" s="16">
        <v>1.86755118</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61.204988350000001</v>
      </c>
      <c r="F8" s="16">
        <v>1.85081647</v>
      </c>
      <c r="G8" s="14">
        <v>38.795011649999999</v>
      </c>
      <c r="H8" s="16">
        <v>1.85081647</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48.78210851</v>
      </c>
      <c r="F9" s="16">
        <v>2.0860270500000002</v>
      </c>
      <c r="G9" s="14">
        <v>51.21789149</v>
      </c>
      <c r="H9" s="16">
        <v>2.0860270500000002</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41.44991126</v>
      </c>
      <c r="F10" s="16">
        <v>1.9493229400000001</v>
      </c>
      <c r="G10" s="14">
        <v>58.55008874</v>
      </c>
      <c r="H10" s="16">
        <v>1.9493229400000001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66.55228219</v>
      </c>
      <c r="F11" s="16">
        <v>2.4425888100000002</v>
      </c>
      <c r="G11" s="14">
        <v>33.44771781</v>
      </c>
      <c r="H11" s="16">
        <v>2.4425888100000002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52.818169529999999</v>
      </c>
      <c r="F12" s="16">
        <v>2.4826708599999998</v>
      </c>
      <c r="G12" s="14">
        <v>47.181830470000001</v>
      </c>
      <c r="H12" s="16">
        <v>2.4826708599999998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45.899401130000001</v>
      </c>
      <c r="F13" s="16">
        <v>2.6914095100000002</v>
      </c>
      <c r="G13" s="14">
        <v>54.100598869999999</v>
      </c>
      <c r="H13" s="16">
        <v>2.6914095100000002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55.795687139999998</v>
      </c>
      <c r="F14" s="16">
        <v>2.5470843099999998</v>
      </c>
      <c r="G14" s="14">
        <v>44.204312860000002</v>
      </c>
      <c r="H14" s="16">
        <v>2.5470843099999998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42.94839254</v>
      </c>
      <c r="F15" s="16">
        <v>2.4411161199999998</v>
      </c>
      <c r="G15" s="14">
        <v>57.05160746</v>
      </c>
      <c r="H15" s="16">
        <v>2.4411161199999998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51.145665229999999</v>
      </c>
      <c r="F16" s="16">
        <v>2.8761688099999998</v>
      </c>
      <c r="G16" s="14">
        <v>48.854334770000001</v>
      </c>
      <c r="H16" s="16">
        <v>2.8761688099999998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45.587693659999999</v>
      </c>
      <c r="F17" s="16">
        <v>1.9890926600000001</v>
      </c>
      <c r="G17" s="14">
        <v>54.412306340000001</v>
      </c>
      <c r="H17" s="16">
        <v>1.9890926600000001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72.333584389999999</v>
      </c>
      <c r="F18" s="16">
        <v>2.3488753400000002</v>
      </c>
      <c r="G18" s="14">
        <v>27.666415610000001</v>
      </c>
      <c r="H18" s="16">
        <v>2.3488753400000002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64.831053690000005</v>
      </c>
      <c r="F19" s="16">
        <v>2.6670609999999999</v>
      </c>
      <c r="G19" s="14">
        <v>35.168946310000003</v>
      </c>
      <c r="H19" s="16">
        <v>2.6670609999999999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57.689370099999998</v>
      </c>
      <c r="F20" s="16">
        <v>3.38922795</v>
      </c>
      <c r="G20" s="14">
        <v>42.310629900000002</v>
      </c>
      <c r="H20" s="16">
        <v>3.38922795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64.990465850000007</v>
      </c>
      <c r="F22" s="16">
        <v>2.0074789900000001</v>
      </c>
      <c r="G22" s="14">
        <v>35.00953415</v>
      </c>
      <c r="H22" s="16">
        <v>2.0074789900000001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63.04455729</v>
      </c>
      <c r="F23" s="16">
        <v>2.1287046799999998</v>
      </c>
      <c r="G23" s="14">
        <v>36.95544271</v>
      </c>
      <c r="H23" s="16">
        <v>2.1287046799999998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24.84255748</v>
      </c>
      <c r="F24" s="16">
        <v>1.93855025</v>
      </c>
      <c r="G24" s="14">
        <v>75.157442520000004</v>
      </c>
      <c r="H24" s="16">
        <v>1.93855025</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37.400245630000001</v>
      </c>
      <c r="F25" s="16">
        <v>2.1460379600000001</v>
      </c>
      <c r="G25" s="14">
        <v>62.599754369999999</v>
      </c>
      <c r="H25" s="16">
        <v>2.1460379600000001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62.383755700000002</v>
      </c>
      <c r="F26" s="16">
        <v>2.4849193500000002</v>
      </c>
      <c r="G26" s="14">
        <v>37.616244299999998</v>
      </c>
      <c r="H26" s="16">
        <v>2.4849193500000002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57.718004839999999</v>
      </c>
      <c r="F27" s="16">
        <v>2.5090447199999999</v>
      </c>
      <c r="G27" s="14">
        <v>42.281995160000001</v>
      </c>
      <c r="H27" s="16">
        <v>2.5090447199999999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81.018992019999999</v>
      </c>
      <c r="F28" s="16">
        <v>1.8744518299999999</v>
      </c>
      <c r="G28" s="14">
        <v>18.981007980000001</v>
      </c>
      <c r="H28" s="16">
        <v>1.8744518299999999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44.989351679999999</v>
      </c>
      <c r="F29" s="16">
        <v>2.4761873699999999</v>
      </c>
      <c r="G29" s="14">
        <v>55.010648320000001</v>
      </c>
      <c r="H29" s="16">
        <v>2.4761873699999999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39.880137990000001</v>
      </c>
      <c r="F30" s="16">
        <v>2.7730165000000002</v>
      </c>
      <c r="G30" s="14">
        <v>60.119862009999999</v>
      </c>
      <c r="H30" s="16">
        <v>2.7730165000000002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48.300058200000002</v>
      </c>
      <c r="F31" s="16">
        <v>2.08076989</v>
      </c>
      <c r="G31" s="14">
        <v>51.699941799999998</v>
      </c>
      <c r="H31" s="16">
        <v>2.08076989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63.687864689999998</v>
      </c>
      <c r="F33" s="16">
        <v>2.8504147500000001</v>
      </c>
      <c r="G33" s="14">
        <v>36.312135310000002</v>
      </c>
      <c r="H33" s="16">
        <v>2.8504147500000001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62.093884150000001</v>
      </c>
      <c r="F34" s="16">
        <v>2.08411904</v>
      </c>
      <c r="G34" s="14">
        <v>37.906115849999999</v>
      </c>
      <c r="H34" s="16">
        <v>2.08411904</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49.048116710000002</v>
      </c>
      <c r="F35" s="16">
        <v>2.66452278</v>
      </c>
      <c r="G35" s="14">
        <v>50.951883289999998</v>
      </c>
      <c r="H35" s="16">
        <v>2.66452278</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52.111530590000001</v>
      </c>
      <c r="F36" s="16">
        <v>2.3926142499999998</v>
      </c>
      <c r="G36" s="14">
        <v>47.888469409999999</v>
      </c>
      <c r="H36" s="16">
        <v>2.3926142499999998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49.096109200000001</v>
      </c>
      <c r="F37" s="16">
        <v>2.7972947800000001</v>
      </c>
      <c r="G37" s="14">
        <v>50.903890799999999</v>
      </c>
      <c r="H37" s="16">
        <v>2.7972947800000001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74.105476690000003</v>
      </c>
      <c r="F39" s="16">
        <v>2.1445797600000001</v>
      </c>
      <c r="G39" s="14">
        <v>25.89452331</v>
      </c>
      <c r="H39" s="16">
        <v>2.1445797600000001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46.258421810000002</v>
      </c>
      <c r="F40" s="16">
        <v>2.15421152</v>
      </c>
      <c r="G40" s="14">
        <v>53.741578189999998</v>
      </c>
      <c r="H40" s="16">
        <v>2.15421152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44.587984259999999</v>
      </c>
      <c r="F41" s="16">
        <v>2.5626487199999999</v>
      </c>
      <c r="G41" s="14">
        <v>55.412015740000001</v>
      </c>
      <c r="H41" s="16">
        <v>2.5626487199999999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53.653009061249996</v>
      </c>
      <c r="F42" s="16">
        <f>IF(COUNT(F7:F41) &gt; 0, SQRT(SUMSQ(F7:F41)/(COUNT(F7:F41)*COUNT(F7:F41)) ), "—")</f>
        <v>0.42299025293316977</v>
      </c>
      <c r="G42" s="14">
        <f>IF(COUNT(G7:G41) &gt; 0, AVERAGE(G7:G41), "—")</f>
        <v>46.346990938750004</v>
      </c>
      <c r="H42" s="16">
        <f>IF(COUNT(H7:H41) &gt; 0, SQRT(SUMSQ(H7:H41)/(COUNT(H7:H41)*COUNT(H7:H41)) ), "—")</f>
        <v>0.42299025293316977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73.344855159999994</v>
      </c>
      <c r="F46" s="16">
        <v>1.69540179</v>
      </c>
      <c r="G46" s="14">
        <v>26.655144839999998</v>
      </c>
      <c r="H46" s="16">
        <v>1.69540179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66.860802730000003</v>
      </c>
      <c r="F47" s="16">
        <v>2.3764506500000002</v>
      </c>
      <c r="G47" s="14">
        <v>33.139197269999997</v>
      </c>
      <c r="H47" s="16">
        <v>2.3764506500000002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49.424871109999998</v>
      </c>
      <c r="F48" s="16">
        <v>2.2291922400000002</v>
      </c>
      <c r="G48" s="14">
        <v>50.575128890000002</v>
      </c>
      <c r="H48" s="16">
        <v>2.2291922400000002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77.959077539999996</v>
      </c>
      <c r="F50" s="16">
        <v>2.0799165300000002</v>
      </c>
      <c r="G50" s="14">
        <v>22.040922460000001</v>
      </c>
      <c r="H50" s="16">
        <v>2.0799165300000002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73.00222823</v>
      </c>
      <c r="F51" s="16">
        <v>2.5021611799999999</v>
      </c>
      <c r="G51" s="14">
        <v>26.99777177</v>
      </c>
      <c r="H51" s="16">
        <v>2.5021611799999999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63.870581420000001</v>
      </c>
      <c r="F52" s="16">
        <v>2.4570496500000001</v>
      </c>
      <c r="G52" s="14">
        <v>36.129418579999999</v>
      </c>
      <c r="H52" s="16">
        <v>2.4570496500000001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66.196607209999996</v>
      </c>
      <c r="F53" s="16">
        <v>2.5156881800000002</v>
      </c>
      <c r="G53" s="14">
        <v>33.803392789999997</v>
      </c>
      <c r="H53" s="16">
        <v>2.5156881800000002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59.002527729999997</v>
      </c>
      <c r="F56" s="16">
        <v>2.8216147899999999</v>
      </c>
      <c r="G56" s="14">
        <v>40.997472270000003</v>
      </c>
      <c r="H56" s="16">
        <v>2.8216147899999999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65.579278349999996</v>
      </c>
      <c r="F61" s="16">
        <v>2.7708784299999998</v>
      </c>
      <c r="G61" s="14">
        <v>34.420721649999997</v>
      </c>
      <c r="H61" s="16">
        <v>2.7708784299999998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55.691895500000001</v>
      </c>
      <c r="F62" s="16">
        <v>2.6283099000000001</v>
      </c>
      <c r="G62" s="14">
        <v>44.308104499999999</v>
      </c>
      <c r="H62" s="16">
        <v>2.6283099000000001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76.068860040000004</v>
      </c>
      <c r="F66" s="16">
        <v>2.1824573900000002</v>
      </c>
      <c r="G66" s="14">
        <v>23.931139959999999</v>
      </c>
      <c r="H66" s="16">
        <v>2.1824573900000002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80.025915350000005</v>
      </c>
      <c r="F67" s="16">
        <v>1.8827676600000001</v>
      </c>
      <c r="G67" s="14">
        <v>19.974084650000002</v>
      </c>
      <c r="H67" s="16">
        <v>1.8827676600000001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68.036329859999995</v>
      </c>
      <c r="F70" s="16">
        <v>2.2609421900000002</v>
      </c>
      <c r="G70" s="14">
        <v>31.963670140000001</v>
      </c>
      <c r="H70" s="16">
        <v>2.2609421900000002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36.702583750000002</v>
      </c>
      <c r="F72" s="16">
        <v>2.0765890200000001</v>
      </c>
      <c r="G72" s="14">
        <v>63.297416249999998</v>
      </c>
      <c r="H72" s="16">
        <v>2.0765890200000001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73.291236490000003</v>
      </c>
      <c r="F73" s="16">
        <v>2.18581124</v>
      </c>
      <c r="G73" s="14">
        <v>26.708763510000001</v>
      </c>
      <c r="H73" s="16">
        <v>2.18581124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82.868764740000003</v>
      </c>
      <c r="F75" s="16">
        <v>2.03697653</v>
      </c>
      <c r="G75" s="14">
        <v>17.13123526</v>
      </c>
      <c r="H75" s="16">
        <v>2.03697653</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72.449588719999994</v>
      </c>
      <c r="F76" s="16">
        <v>1.6281632399999999</v>
      </c>
      <c r="G76" s="14">
        <v>27.550411279999999</v>
      </c>
      <c r="H76" s="16">
        <v>1.6281632399999999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69.542775270000007</v>
      </c>
      <c r="F77" s="16">
        <v>2.1430774000000001</v>
      </c>
      <c r="G77" s="14">
        <v>30.45722473</v>
      </c>
      <c r="H77" s="16">
        <v>2.1430774000000001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74.848496710000006</v>
      </c>
      <c r="F81" s="16">
        <v>2.0930273000000001</v>
      </c>
      <c r="G81" s="14">
        <v>25.151503290000001</v>
      </c>
      <c r="H81" s="16">
        <v>2.0930273000000001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39.451658379999998</v>
      </c>
      <c r="F7" s="16">
        <v>1.47366412</v>
      </c>
      <c r="G7" s="14">
        <v>60.548341620000002</v>
      </c>
      <c r="H7" s="16">
        <v>1.47366412</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51.573151600000003</v>
      </c>
      <c r="F8" s="16">
        <v>2.0716931399999998</v>
      </c>
      <c r="G8" s="14">
        <v>48.426848399999997</v>
      </c>
      <c r="H8" s="16">
        <v>2.0716931399999998</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50.443277729999998</v>
      </c>
      <c r="F9" s="16">
        <v>1.9986663499999999</v>
      </c>
      <c r="G9" s="14">
        <v>49.556722270000002</v>
      </c>
      <c r="H9" s="16">
        <v>1.9986663499999999</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39.08055057</v>
      </c>
      <c r="F10" s="16">
        <v>1.6958998599999999</v>
      </c>
      <c r="G10" s="14">
        <v>60.91944943</v>
      </c>
      <c r="H10" s="16">
        <v>1.6958998599999999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64.876691519999994</v>
      </c>
      <c r="F11" s="16">
        <v>2.2077188099999998</v>
      </c>
      <c r="G11" s="14">
        <v>35.123308479999999</v>
      </c>
      <c r="H11" s="16">
        <v>2.2077188099999998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61.597075029999999</v>
      </c>
      <c r="F12" s="16">
        <v>2.3129826599999999</v>
      </c>
      <c r="G12" s="14">
        <v>38.402924970000001</v>
      </c>
      <c r="H12" s="16">
        <v>2.3129826599999999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56.712744720000003</v>
      </c>
      <c r="F13" s="16">
        <v>2.7551856400000001</v>
      </c>
      <c r="G13" s="14">
        <v>43.287255279999997</v>
      </c>
      <c r="H13" s="16">
        <v>2.7551856400000001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48.395136450000003</v>
      </c>
      <c r="F14" s="16">
        <v>2.9240090599999999</v>
      </c>
      <c r="G14" s="14">
        <v>51.604863549999997</v>
      </c>
      <c r="H14" s="16">
        <v>2.9240090599999999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48.567607590000001</v>
      </c>
      <c r="F15" s="16">
        <v>2.4086260400000001</v>
      </c>
      <c r="G15" s="14">
        <v>51.432392409999999</v>
      </c>
      <c r="H15" s="16">
        <v>2.4086260400000001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55.53421299</v>
      </c>
      <c r="F16" s="16">
        <v>2.3027178699999999</v>
      </c>
      <c r="G16" s="14">
        <v>44.46578701</v>
      </c>
      <c r="H16" s="16">
        <v>2.3027178699999999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54.09133061</v>
      </c>
      <c r="F17" s="16">
        <v>2.0465784899999999</v>
      </c>
      <c r="G17" s="14">
        <v>45.90866939</v>
      </c>
      <c r="H17" s="16">
        <v>2.0465784899999999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64.626258739999997</v>
      </c>
      <c r="F18" s="16">
        <v>2.1259406799999998</v>
      </c>
      <c r="G18" s="14">
        <v>35.373741260000003</v>
      </c>
      <c r="H18" s="16">
        <v>2.1259406799999998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63.806672550000002</v>
      </c>
      <c r="F19" s="16">
        <v>2.2356588400000001</v>
      </c>
      <c r="G19" s="14">
        <v>36.193327449999998</v>
      </c>
      <c r="H19" s="16">
        <v>2.2356588400000001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53.581582509999997</v>
      </c>
      <c r="F20" s="16">
        <v>3.4472819100000001</v>
      </c>
      <c r="G20" s="14">
        <v>46.418417490000003</v>
      </c>
      <c r="H20" s="16">
        <v>3.4472819100000001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64.275782129999996</v>
      </c>
      <c r="F22" s="16">
        <v>2.4269013699999999</v>
      </c>
      <c r="G22" s="14">
        <v>35.724217869999997</v>
      </c>
      <c r="H22" s="16">
        <v>2.4269013699999999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60.641127709999999</v>
      </c>
      <c r="F23" s="16">
        <v>2.3143683400000001</v>
      </c>
      <c r="G23" s="14">
        <v>39.358872290000001</v>
      </c>
      <c r="H23" s="16">
        <v>2.3143683400000001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38.499216230000002</v>
      </c>
      <c r="F24" s="16">
        <v>1.9673435100000001</v>
      </c>
      <c r="G24" s="14">
        <v>61.500783769999998</v>
      </c>
      <c r="H24" s="16">
        <v>1.9673435100000001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31.087346279999998</v>
      </c>
      <c r="F25" s="16">
        <v>1.84454984</v>
      </c>
      <c r="G25" s="14">
        <v>68.912653719999994</v>
      </c>
      <c r="H25" s="16">
        <v>1.84454984</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58.540606689999997</v>
      </c>
      <c r="F26" s="16">
        <v>2.6408099799999998</v>
      </c>
      <c r="G26" s="14">
        <v>41.459393310000003</v>
      </c>
      <c r="H26" s="16">
        <v>2.6408099799999998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58.812040189999998</v>
      </c>
      <c r="F27" s="16">
        <v>2.3121072699999998</v>
      </c>
      <c r="G27" s="14">
        <v>41.187959810000002</v>
      </c>
      <c r="H27" s="16">
        <v>2.3121072699999998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76.671898040000002</v>
      </c>
      <c r="F28" s="16">
        <v>1.9569412500000001</v>
      </c>
      <c r="G28" s="14">
        <v>23.328101960000001</v>
      </c>
      <c r="H28" s="16">
        <v>1.9569412500000001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52.644183550000001</v>
      </c>
      <c r="F29" s="16">
        <v>1.92154636</v>
      </c>
      <c r="G29" s="14">
        <v>47.355816449999999</v>
      </c>
      <c r="H29" s="16">
        <v>1.92154636</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41.961140200000003</v>
      </c>
      <c r="F30" s="16">
        <v>2.4908917100000001</v>
      </c>
      <c r="G30" s="14">
        <v>58.038859799999997</v>
      </c>
      <c r="H30" s="16">
        <v>2.4908917100000001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51.714389760000003</v>
      </c>
      <c r="F31" s="16">
        <v>2.4588498400000001</v>
      </c>
      <c r="G31" s="14">
        <v>48.285610239999997</v>
      </c>
      <c r="H31" s="16">
        <v>2.4588498400000001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65.892189000000002</v>
      </c>
      <c r="F33" s="16">
        <v>2.6603319600000002</v>
      </c>
      <c r="G33" s="14">
        <v>34.107810999999998</v>
      </c>
      <c r="H33" s="16">
        <v>2.6603319600000002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74.421457770000004</v>
      </c>
      <c r="F34" s="16">
        <v>1.96095325</v>
      </c>
      <c r="G34" s="14">
        <v>25.57854223</v>
      </c>
      <c r="H34" s="16">
        <v>1.96095325</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47.525001400000001</v>
      </c>
      <c r="F35" s="16">
        <v>2.3300703600000001</v>
      </c>
      <c r="G35" s="14">
        <v>52.474998599999999</v>
      </c>
      <c r="H35" s="16">
        <v>2.3300703600000001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50.362989749999997</v>
      </c>
      <c r="F36" s="16">
        <v>2.40586236</v>
      </c>
      <c r="G36" s="14">
        <v>49.637010250000003</v>
      </c>
      <c r="H36" s="16">
        <v>2.40586236</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55.932190599999998</v>
      </c>
      <c r="F37" s="16">
        <v>2.7852709099999999</v>
      </c>
      <c r="G37" s="14">
        <v>44.067809400000002</v>
      </c>
      <c r="H37" s="16">
        <v>2.7852709099999999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64.519448780000005</v>
      </c>
      <c r="F39" s="16">
        <v>2.3776725000000001</v>
      </c>
      <c r="G39" s="14">
        <v>35.480551220000002</v>
      </c>
      <c r="H39" s="16">
        <v>2.3776725000000001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44.194006860000002</v>
      </c>
      <c r="F40" s="16">
        <v>2.2156607400000001</v>
      </c>
      <c r="G40" s="14">
        <v>55.805993139999998</v>
      </c>
      <c r="H40" s="16">
        <v>2.2156607400000001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42.894695220000003</v>
      </c>
      <c r="F41" s="16">
        <v>2.3578555099999998</v>
      </c>
      <c r="G41" s="14">
        <v>57.105304779999997</v>
      </c>
      <c r="H41" s="16">
        <v>2.3578555099999998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54.153989410937491</v>
      </c>
      <c r="F42" s="16">
        <f>IF(COUNT(F7:F41) &gt; 0, SQRT(SUMSQ(F7:F41)/(COUNT(F7:F41)*COUNT(F7:F41)) ), "—")</f>
        <v>0.41105816532615375</v>
      </c>
      <c r="G42" s="14">
        <f>IF(COUNT(G7:G41) &gt; 0, AVERAGE(G7:G41), "—")</f>
        <v>45.846010589062509</v>
      </c>
      <c r="H42" s="16">
        <f>IF(COUNT(H7:H41) &gt; 0, SQRT(SUMSQ(H7:H41)/(COUNT(H7:H41)*COUNT(H7:H41)) ), "—")</f>
        <v>0.41105816532615375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73.23196179</v>
      </c>
      <c r="F46" s="16">
        <v>1.98557999</v>
      </c>
      <c r="G46" s="14">
        <v>26.76803821</v>
      </c>
      <c r="H46" s="16">
        <v>1.98557999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70.80004314</v>
      </c>
      <c r="F47" s="16">
        <v>2.1967641100000002</v>
      </c>
      <c r="G47" s="14">
        <v>29.19995686</v>
      </c>
      <c r="H47" s="16">
        <v>2.1967641100000002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60.437893760000001</v>
      </c>
      <c r="F48" s="16">
        <v>2.4110724299999999</v>
      </c>
      <c r="G48" s="14">
        <v>39.562106239999999</v>
      </c>
      <c r="H48" s="16">
        <v>2.4110724299999999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73.35783687</v>
      </c>
      <c r="F50" s="16">
        <v>2.24233664</v>
      </c>
      <c r="G50" s="14">
        <v>26.64216313</v>
      </c>
      <c r="H50" s="16">
        <v>2.24233664</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70.266012989999993</v>
      </c>
      <c r="F51" s="16">
        <v>2.0585028599999999</v>
      </c>
      <c r="G51" s="14">
        <v>29.73398701</v>
      </c>
      <c r="H51" s="16">
        <v>2.0585028599999999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55.275041909999999</v>
      </c>
      <c r="F52" s="16">
        <v>2.4983437799999999</v>
      </c>
      <c r="G52" s="14">
        <v>44.724958090000001</v>
      </c>
      <c r="H52" s="16">
        <v>2.4983437799999999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60.131753549999999</v>
      </c>
      <c r="F53" s="16">
        <v>2.1124653200000001</v>
      </c>
      <c r="G53" s="14">
        <v>39.868246450000001</v>
      </c>
      <c r="H53" s="16">
        <v>2.1124653200000001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36.781117950000002</v>
      </c>
      <c r="F56" s="16">
        <v>2.4675364800000001</v>
      </c>
      <c r="G56" s="14">
        <v>63.218882049999998</v>
      </c>
      <c r="H56" s="16">
        <v>2.4675364800000001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63.808979209999997</v>
      </c>
      <c r="F61" s="16">
        <v>1.96851811</v>
      </c>
      <c r="G61" s="14">
        <v>36.191020790000003</v>
      </c>
      <c r="H61" s="16">
        <v>1.96851811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48.984380530000003</v>
      </c>
      <c r="F62" s="16">
        <v>2.6316152100000001</v>
      </c>
      <c r="G62" s="14">
        <v>51.015619469999997</v>
      </c>
      <c r="H62" s="16">
        <v>2.6316152100000001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71.714194620000001</v>
      </c>
      <c r="F66" s="16">
        <v>2.3029369399999999</v>
      </c>
      <c r="G66" s="14">
        <v>28.285805379999999</v>
      </c>
      <c r="H66" s="16">
        <v>2.3029369399999999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78.226551049999998</v>
      </c>
      <c r="F67" s="16">
        <v>2.3426778700000002</v>
      </c>
      <c r="G67" s="14">
        <v>21.773448949999999</v>
      </c>
      <c r="H67" s="16">
        <v>2.3426778700000002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64.934200099999998</v>
      </c>
      <c r="F70" s="16">
        <v>2.7458094700000002</v>
      </c>
      <c r="G70" s="14">
        <v>35.065799900000002</v>
      </c>
      <c r="H70" s="16">
        <v>2.7458094700000002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44.061243449999999</v>
      </c>
      <c r="F72" s="16">
        <v>2.3071517400000001</v>
      </c>
      <c r="G72" s="14">
        <v>55.938756550000001</v>
      </c>
      <c r="H72" s="16">
        <v>2.3071517400000001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69.825575470000004</v>
      </c>
      <c r="F73" s="16">
        <v>2.5192115899999998</v>
      </c>
      <c r="G73" s="14">
        <v>30.17442453</v>
      </c>
      <c r="H73" s="16">
        <v>2.5192115899999998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75.591352380000004</v>
      </c>
      <c r="F75" s="16">
        <v>2.3934316500000001</v>
      </c>
      <c r="G75" s="14">
        <v>24.40864762</v>
      </c>
      <c r="H75" s="16">
        <v>2.3934316500000001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71.686863790000004</v>
      </c>
      <c r="F76" s="16">
        <v>1.4315169000000001</v>
      </c>
      <c r="G76" s="14">
        <v>28.31313621</v>
      </c>
      <c r="H76" s="16">
        <v>1.4315169000000001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67.292924470000003</v>
      </c>
      <c r="F77" s="16">
        <v>2.3600398</v>
      </c>
      <c r="G77" s="14">
        <v>32.707075529999997</v>
      </c>
      <c r="H77" s="16">
        <v>2.3600398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53.402777149999999</v>
      </c>
      <c r="F81" s="16">
        <v>2.1397975599999999</v>
      </c>
      <c r="G81" s="14">
        <v>46.597222850000001</v>
      </c>
      <c r="H81" s="16">
        <v>2.1397975599999999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54.270140869999999</v>
      </c>
      <c r="F7" s="16">
        <v>1.69961669</v>
      </c>
      <c r="G7" s="14">
        <v>45.729859130000001</v>
      </c>
      <c r="H7" s="16">
        <v>1.69961669</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56.469103339999997</v>
      </c>
      <c r="F8" s="16">
        <v>1.86326602</v>
      </c>
      <c r="G8" s="14">
        <v>43.530896660000003</v>
      </c>
      <c r="H8" s="16">
        <v>1.86326602</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59.21699066</v>
      </c>
      <c r="F9" s="16">
        <v>1.69696449</v>
      </c>
      <c r="G9" s="14">
        <v>40.78300934</v>
      </c>
      <c r="H9" s="16">
        <v>1.69696449</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54.021548670000001</v>
      </c>
      <c r="F10" s="16">
        <v>2.20939394</v>
      </c>
      <c r="G10" s="14">
        <v>45.978451329999999</v>
      </c>
      <c r="H10" s="16">
        <v>2.20939394</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66.002269179999999</v>
      </c>
      <c r="F11" s="16">
        <v>2.38175143</v>
      </c>
      <c r="G11" s="14">
        <v>33.997730820000001</v>
      </c>
      <c r="H11" s="16">
        <v>2.38175143</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53.345605429999999</v>
      </c>
      <c r="F12" s="16">
        <v>2.8374446299999998</v>
      </c>
      <c r="G12" s="14">
        <v>46.654394570000001</v>
      </c>
      <c r="H12" s="16">
        <v>2.8374446299999998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51.680562199999997</v>
      </c>
      <c r="F13" s="16">
        <v>2.5266844800000001</v>
      </c>
      <c r="G13" s="14">
        <v>48.319437800000003</v>
      </c>
      <c r="H13" s="16">
        <v>2.5266844800000001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65.696911369999995</v>
      </c>
      <c r="F14" s="16">
        <v>2.1861417599999999</v>
      </c>
      <c r="G14" s="14">
        <v>34.303088629999998</v>
      </c>
      <c r="H14" s="16">
        <v>2.1861417599999999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65.090687160000002</v>
      </c>
      <c r="F15" s="16">
        <v>2.14398095</v>
      </c>
      <c r="G15" s="14">
        <v>34.909312839999998</v>
      </c>
      <c r="H15" s="16">
        <v>2.14398095</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59.300679279999997</v>
      </c>
      <c r="F16" s="16">
        <v>2.29049682</v>
      </c>
      <c r="G16" s="14">
        <v>40.699320720000003</v>
      </c>
      <c r="H16" s="16">
        <v>2.29049682</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57.01953099</v>
      </c>
      <c r="F17" s="16">
        <v>2.4344311300000001</v>
      </c>
      <c r="G17" s="14">
        <v>42.98046901</v>
      </c>
      <c r="H17" s="16">
        <v>2.4344311300000001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74.263397780000005</v>
      </c>
      <c r="F18" s="16">
        <v>2.1520182700000001</v>
      </c>
      <c r="G18" s="14">
        <v>25.736602220000002</v>
      </c>
      <c r="H18" s="16">
        <v>2.1520182700000001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64.978745200000006</v>
      </c>
      <c r="F19" s="16">
        <v>2.7025507900000001</v>
      </c>
      <c r="G19" s="14">
        <v>35.021254800000001</v>
      </c>
      <c r="H19" s="16">
        <v>2.7025507900000001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59.890836229999998</v>
      </c>
      <c r="F20" s="16">
        <v>3.1090992200000001</v>
      </c>
      <c r="G20" s="14">
        <v>40.109163770000002</v>
      </c>
      <c r="H20" s="16">
        <v>3.1090992200000001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70.08343859</v>
      </c>
      <c r="F22" s="16">
        <v>2.4564002500000002</v>
      </c>
      <c r="G22" s="14">
        <v>29.91656141</v>
      </c>
      <c r="H22" s="16">
        <v>2.4564002500000002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61.109676880000002</v>
      </c>
      <c r="F23" s="16">
        <v>2.3978525899999998</v>
      </c>
      <c r="G23" s="14">
        <v>38.890323119999998</v>
      </c>
      <c r="H23" s="16">
        <v>2.3978525899999998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60.545118969999997</v>
      </c>
      <c r="F24" s="16">
        <v>2.2269678700000002</v>
      </c>
      <c r="G24" s="14">
        <v>39.454881030000003</v>
      </c>
      <c r="H24" s="16">
        <v>2.2269678700000002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53.257971699999999</v>
      </c>
      <c r="F25" s="16">
        <v>2.0744628000000001</v>
      </c>
      <c r="G25" s="14">
        <v>46.742028300000001</v>
      </c>
      <c r="H25" s="16">
        <v>2.0744628000000001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59.944794369999997</v>
      </c>
      <c r="F26" s="16">
        <v>2.0048534400000002</v>
      </c>
      <c r="G26" s="14">
        <v>40.055205630000003</v>
      </c>
      <c r="H26" s="16">
        <v>2.0048534400000002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55.49963279</v>
      </c>
      <c r="F27" s="16">
        <v>2.4622818099999999</v>
      </c>
      <c r="G27" s="14">
        <v>44.50036721</v>
      </c>
      <c r="H27" s="16">
        <v>2.4622818099999999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71.812170120000005</v>
      </c>
      <c r="F28" s="16">
        <v>2.36640937</v>
      </c>
      <c r="G28" s="14">
        <v>28.187829879999999</v>
      </c>
      <c r="H28" s="16">
        <v>2.36640937</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65.854933729999999</v>
      </c>
      <c r="F29" s="16">
        <v>2.58812832</v>
      </c>
      <c r="G29" s="14">
        <v>34.145066270000001</v>
      </c>
      <c r="H29" s="16">
        <v>2.58812832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56.279963960000003</v>
      </c>
      <c r="F30" s="16">
        <v>2.5147578199999998</v>
      </c>
      <c r="G30" s="14">
        <v>43.720036039999997</v>
      </c>
      <c r="H30" s="16">
        <v>2.5147578199999998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59.569713659999998</v>
      </c>
      <c r="F31" s="16">
        <v>2.35284827</v>
      </c>
      <c r="G31" s="14">
        <v>40.430286340000002</v>
      </c>
      <c r="H31" s="16">
        <v>2.35284827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64.761469959999999</v>
      </c>
      <c r="F33" s="16">
        <v>2.5796313400000002</v>
      </c>
      <c r="G33" s="14">
        <v>35.238530040000001</v>
      </c>
      <c r="H33" s="16">
        <v>2.5796313400000002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67.789908010000005</v>
      </c>
      <c r="F34" s="16">
        <v>2.1818502400000002</v>
      </c>
      <c r="G34" s="14">
        <v>32.210091990000002</v>
      </c>
      <c r="H34" s="16">
        <v>2.1818502400000002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60.189661450000003</v>
      </c>
      <c r="F35" s="16">
        <v>2.5402353999999998</v>
      </c>
      <c r="G35" s="14">
        <v>39.810338549999997</v>
      </c>
      <c r="H35" s="16">
        <v>2.5402353999999998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59.838672189999997</v>
      </c>
      <c r="F36" s="16">
        <v>2.2921197100000001</v>
      </c>
      <c r="G36" s="14">
        <v>40.161327810000003</v>
      </c>
      <c r="H36" s="16">
        <v>2.2921197100000001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63.312920699999999</v>
      </c>
      <c r="F37" s="16">
        <v>2.6427248400000001</v>
      </c>
      <c r="G37" s="14">
        <v>36.687079300000001</v>
      </c>
      <c r="H37" s="16">
        <v>2.6427248400000001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66.048166929999994</v>
      </c>
      <c r="F39" s="16">
        <v>2.2404229600000001</v>
      </c>
      <c r="G39" s="14">
        <v>33.951833069999999</v>
      </c>
      <c r="H39" s="16">
        <v>2.2404229600000001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55.62249207</v>
      </c>
      <c r="F40" s="16">
        <v>2.3135103799999999</v>
      </c>
      <c r="G40" s="14">
        <v>44.37750793</v>
      </c>
      <c r="H40" s="16">
        <v>2.3135103799999999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55.296868369999999</v>
      </c>
      <c r="F41" s="16">
        <v>2.5972419100000002</v>
      </c>
      <c r="G41" s="14">
        <v>44.703131630000001</v>
      </c>
      <c r="H41" s="16">
        <v>2.5972419100000002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60.877018212812509</v>
      </c>
      <c r="F42" s="16">
        <f>IF(COUNT(F7:F41) &gt; 0, SQRT(SUMSQ(F7:F41)/(COUNT(F7:F41)*COUNT(F7:F41)) ), "—")</f>
        <v>0.41796756602516011</v>
      </c>
      <c r="G42" s="14">
        <f>IF(COUNT(G7:G41) &gt; 0, AVERAGE(G7:G41), "—")</f>
        <v>39.122981787187506</v>
      </c>
      <c r="H42" s="16">
        <f>IF(COUNT(H7:H41) &gt; 0, SQRT(SUMSQ(H7:H41)/(COUNT(H7:H41)*COUNT(H7:H41)) ), "—")</f>
        <v>0.41796756602516011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74.837477480000004</v>
      </c>
      <c r="F46" s="16">
        <v>1.95190716</v>
      </c>
      <c r="G46" s="14">
        <v>25.16252252</v>
      </c>
      <c r="H46" s="16">
        <v>1.95190716</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70.703848789999995</v>
      </c>
      <c r="F47" s="16">
        <v>2.2548694600000001</v>
      </c>
      <c r="G47" s="14">
        <v>29.296151210000001</v>
      </c>
      <c r="H47" s="16">
        <v>2.2548694600000001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62.503399899999998</v>
      </c>
      <c r="F48" s="16">
        <v>2.1566179299999999</v>
      </c>
      <c r="G48" s="14">
        <v>37.496600100000002</v>
      </c>
      <c r="H48" s="16">
        <v>2.1566179299999999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66.037997149999995</v>
      </c>
      <c r="F50" s="16">
        <v>1.8841699199999999</v>
      </c>
      <c r="G50" s="14">
        <v>33.962002849999998</v>
      </c>
      <c r="H50" s="16">
        <v>1.8841699199999999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77.77454084</v>
      </c>
      <c r="F51" s="16">
        <v>2.2027317800000001</v>
      </c>
      <c r="G51" s="14">
        <v>22.22545916</v>
      </c>
      <c r="H51" s="16">
        <v>2.2027317800000001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76.891328990000005</v>
      </c>
      <c r="F52" s="16">
        <v>2.1001972100000001</v>
      </c>
      <c r="G52" s="14">
        <v>23.108671009999998</v>
      </c>
      <c r="H52" s="16">
        <v>2.1001972100000001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68.351918659999995</v>
      </c>
      <c r="F53" s="16">
        <v>2.5093785199999998</v>
      </c>
      <c r="G53" s="14">
        <v>31.648081340000001</v>
      </c>
      <c r="H53" s="16">
        <v>2.5093785199999998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59.076617630000001</v>
      </c>
      <c r="F56" s="16">
        <v>2.2908281499999998</v>
      </c>
      <c r="G56" s="14">
        <v>40.923382369999999</v>
      </c>
      <c r="H56" s="16">
        <v>2.2908281499999998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69.422898989999993</v>
      </c>
      <c r="F61" s="16">
        <v>2.0097779999999998</v>
      </c>
      <c r="G61" s="14">
        <v>30.57710101</v>
      </c>
      <c r="H61" s="16">
        <v>2.0097779999999998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59.503512030000003</v>
      </c>
      <c r="F62" s="16">
        <v>2.8406724900000002</v>
      </c>
      <c r="G62" s="14">
        <v>40.496487969999997</v>
      </c>
      <c r="H62" s="16">
        <v>2.8406724900000002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77.021298220000006</v>
      </c>
      <c r="F66" s="16">
        <v>1.9966098299999999</v>
      </c>
      <c r="G66" s="14">
        <v>22.978701780000002</v>
      </c>
      <c r="H66" s="16">
        <v>1.9966098299999999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66.45507748</v>
      </c>
      <c r="F67" s="16">
        <v>2.5774503599999998</v>
      </c>
      <c r="G67" s="14">
        <v>33.54492252</v>
      </c>
      <c r="H67" s="16">
        <v>2.5774503599999998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66.948958570000002</v>
      </c>
      <c r="F70" s="16">
        <v>2.4049284800000001</v>
      </c>
      <c r="G70" s="14">
        <v>33.051041429999998</v>
      </c>
      <c r="H70" s="16">
        <v>2.4049284800000001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43.61524292</v>
      </c>
      <c r="F72" s="16">
        <v>1.7601431299999999</v>
      </c>
      <c r="G72" s="14">
        <v>56.38475708</v>
      </c>
      <c r="H72" s="16">
        <v>1.7601431299999999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76.853322750000004</v>
      </c>
      <c r="F73" s="16">
        <v>2.2721198299999998</v>
      </c>
      <c r="G73" s="14">
        <v>23.14667725</v>
      </c>
      <c r="H73" s="16">
        <v>2.2721198299999998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82.294291340000001</v>
      </c>
      <c r="F75" s="16">
        <v>2.10109616</v>
      </c>
      <c r="G75" s="14">
        <v>17.705708659999999</v>
      </c>
      <c r="H75" s="16">
        <v>2.10109616</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70.566403660000006</v>
      </c>
      <c r="F76" s="16">
        <v>1.8621800500000001</v>
      </c>
      <c r="G76" s="14">
        <v>29.433596340000001</v>
      </c>
      <c r="H76" s="16">
        <v>1.8621800500000001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71.862926400000006</v>
      </c>
      <c r="F77" s="16">
        <v>1.9109818000000001</v>
      </c>
      <c r="G77" s="14">
        <v>28.137073600000001</v>
      </c>
      <c r="H77" s="16">
        <v>1.9109818000000001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64.247154289999997</v>
      </c>
      <c r="F81" s="16">
        <v>1.8637177199999999</v>
      </c>
      <c r="G81" s="14">
        <v>35.752845710000003</v>
      </c>
      <c r="H81" s="16">
        <v>1.8637177199999999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61.464509620000001</v>
      </c>
      <c r="F7" s="16">
        <v>1.71301846</v>
      </c>
      <c r="G7" s="14">
        <v>38.535490379999999</v>
      </c>
      <c r="H7" s="16">
        <v>1.71301846</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61.147513160000003</v>
      </c>
      <c r="F8" s="16">
        <v>1.6685312400000001</v>
      </c>
      <c r="G8" s="14">
        <v>38.852486839999997</v>
      </c>
      <c r="H8" s="16">
        <v>1.6685312400000001</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64.178739649999997</v>
      </c>
      <c r="F9" s="16">
        <v>1.89724925</v>
      </c>
      <c r="G9" s="14">
        <v>35.821260350000003</v>
      </c>
      <c r="H9" s="16">
        <v>1.89724925</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59.61531446</v>
      </c>
      <c r="F10" s="16">
        <v>1.6473780200000001</v>
      </c>
      <c r="G10" s="14">
        <v>40.38468554</v>
      </c>
      <c r="H10" s="16">
        <v>1.6473780200000001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73.636419939999996</v>
      </c>
      <c r="F11" s="16">
        <v>2.5252252999999998</v>
      </c>
      <c r="G11" s="14">
        <v>26.36358006</v>
      </c>
      <c r="H11" s="16">
        <v>2.5252252999999998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62.432646730000002</v>
      </c>
      <c r="F12" s="16">
        <v>2.4481989099999999</v>
      </c>
      <c r="G12" s="14">
        <v>37.567353269999998</v>
      </c>
      <c r="H12" s="16">
        <v>2.4481989099999999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61.451805780000001</v>
      </c>
      <c r="F13" s="16">
        <v>2.3111989099999999</v>
      </c>
      <c r="G13" s="14">
        <v>38.548194219999999</v>
      </c>
      <c r="H13" s="16">
        <v>2.3111989099999999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57.531228939999998</v>
      </c>
      <c r="F14" s="16">
        <v>2.2896185999999998</v>
      </c>
      <c r="G14" s="14">
        <v>42.468771060000002</v>
      </c>
      <c r="H14" s="16">
        <v>2.2896185999999998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57.570771379999996</v>
      </c>
      <c r="F15" s="16">
        <v>2.4969200200000001</v>
      </c>
      <c r="G15" s="14">
        <v>42.429228620000004</v>
      </c>
      <c r="H15" s="16">
        <v>2.4969200200000001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61.372300279999997</v>
      </c>
      <c r="F16" s="16">
        <v>1.9081815200000001</v>
      </c>
      <c r="G16" s="14">
        <v>38.627699720000003</v>
      </c>
      <c r="H16" s="16">
        <v>1.9081815200000001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54.668887400000003</v>
      </c>
      <c r="F17" s="16">
        <v>2.6164819499999998</v>
      </c>
      <c r="G17" s="14">
        <v>45.331112599999997</v>
      </c>
      <c r="H17" s="16">
        <v>2.6164819499999998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69.931912319999995</v>
      </c>
      <c r="F18" s="16">
        <v>2.2729966799999999</v>
      </c>
      <c r="G18" s="14">
        <v>30.068087680000001</v>
      </c>
      <c r="H18" s="16">
        <v>2.2729966799999999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74.741953120000005</v>
      </c>
      <c r="F19" s="16">
        <v>2.3005988199999998</v>
      </c>
      <c r="G19" s="14">
        <v>25.258046879999998</v>
      </c>
      <c r="H19" s="16">
        <v>2.3005988199999998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62.330491180000003</v>
      </c>
      <c r="F20" s="16">
        <v>2.6645190300000001</v>
      </c>
      <c r="G20" s="14">
        <v>37.669508819999997</v>
      </c>
      <c r="H20" s="16">
        <v>2.6645190300000001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65.534572400000002</v>
      </c>
      <c r="F22" s="16">
        <v>2.0455515599999998</v>
      </c>
      <c r="G22" s="14">
        <v>34.465427599999998</v>
      </c>
      <c r="H22" s="16">
        <v>2.0455515599999998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65.842303049999998</v>
      </c>
      <c r="F23" s="16">
        <v>1.8291138</v>
      </c>
      <c r="G23" s="14">
        <v>34.157696950000002</v>
      </c>
      <c r="H23" s="16">
        <v>1.8291138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52.526976509999997</v>
      </c>
      <c r="F24" s="16">
        <v>2.2286165699999998</v>
      </c>
      <c r="G24" s="14">
        <v>47.473023490000003</v>
      </c>
      <c r="H24" s="16">
        <v>2.2286165699999998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59.302185919999999</v>
      </c>
      <c r="F25" s="16">
        <v>2.1176023599999998</v>
      </c>
      <c r="G25" s="14">
        <v>40.697814080000001</v>
      </c>
      <c r="H25" s="16">
        <v>2.1176023599999998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69.558054459999994</v>
      </c>
      <c r="F26" s="16">
        <v>2.2452994899999998</v>
      </c>
      <c r="G26" s="14">
        <v>30.441945539999999</v>
      </c>
      <c r="H26" s="16">
        <v>2.2452994899999998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62.9400829</v>
      </c>
      <c r="F27" s="16">
        <v>2.26893352</v>
      </c>
      <c r="G27" s="14">
        <v>37.0599171</v>
      </c>
      <c r="H27" s="16">
        <v>2.26893352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74.738525039999999</v>
      </c>
      <c r="F28" s="16">
        <v>1.8716748599999999</v>
      </c>
      <c r="G28" s="14">
        <v>25.261474960000001</v>
      </c>
      <c r="H28" s="16">
        <v>1.8716748599999999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62.292079139999998</v>
      </c>
      <c r="F29" s="16">
        <v>2.0881173300000002</v>
      </c>
      <c r="G29" s="14">
        <v>37.707920860000002</v>
      </c>
      <c r="H29" s="16">
        <v>2.0881173300000002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53.607309809999997</v>
      </c>
      <c r="F30" s="16">
        <v>3.0548898499999999</v>
      </c>
      <c r="G30" s="14">
        <v>46.392690190000003</v>
      </c>
      <c r="H30" s="16">
        <v>3.0548898499999999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53.859116210000003</v>
      </c>
      <c r="F31" s="16">
        <v>2.32577809</v>
      </c>
      <c r="G31" s="14">
        <v>46.140883789999997</v>
      </c>
      <c r="H31" s="16">
        <v>2.32577809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61.218356470000003</v>
      </c>
      <c r="F33" s="16">
        <v>2.25408739</v>
      </c>
      <c r="G33" s="14">
        <v>38.781643529999997</v>
      </c>
      <c r="H33" s="16">
        <v>2.25408739</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69.503864300000004</v>
      </c>
      <c r="F34" s="16">
        <v>2.2679263700000001</v>
      </c>
      <c r="G34" s="14">
        <v>30.4961357</v>
      </c>
      <c r="H34" s="16">
        <v>2.2679263700000001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62.207019150000001</v>
      </c>
      <c r="F35" s="16">
        <v>2.23545894</v>
      </c>
      <c r="G35" s="14">
        <v>37.792980849999999</v>
      </c>
      <c r="H35" s="16">
        <v>2.23545894</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62.020974629999998</v>
      </c>
      <c r="F36" s="16">
        <v>2.2952674100000001</v>
      </c>
      <c r="G36" s="14">
        <v>37.979025370000002</v>
      </c>
      <c r="H36" s="16">
        <v>2.2952674100000001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61.947522919999997</v>
      </c>
      <c r="F37" s="16">
        <v>2.8165021100000001</v>
      </c>
      <c r="G37" s="14">
        <v>38.052477080000003</v>
      </c>
      <c r="H37" s="16">
        <v>2.8165021100000001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74.795512799999997</v>
      </c>
      <c r="F39" s="16">
        <v>2.3606746799999998</v>
      </c>
      <c r="G39" s="14">
        <v>25.204487199999999</v>
      </c>
      <c r="H39" s="16">
        <v>2.3606746799999998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64.443175310000001</v>
      </c>
      <c r="F40" s="16">
        <v>1.86504541</v>
      </c>
      <c r="G40" s="14">
        <v>35.556824689999999</v>
      </c>
      <c r="H40" s="16">
        <v>1.86504541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61.922102000000002</v>
      </c>
      <c r="F41" s="16">
        <v>2.1630302700000001</v>
      </c>
      <c r="G41" s="14">
        <v>38.077897999999998</v>
      </c>
      <c r="H41" s="16">
        <v>2.1630302700000001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63.135444593125001</v>
      </c>
      <c r="F42" s="16">
        <f>IF(COUNT(F7:F41) &gt; 0, SQRT(SUMSQ(F7:F41)/(COUNT(F7:F41)*COUNT(F7:F41)) ), "—")</f>
        <v>0.39675782601930304</v>
      </c>
      <c r="G42" s="14">
        <f>IF(COUNT(G7:G41) &gt; 0, AVERAGE(G7:G41), "—")</f>
        <v>36.864555406874999</v>
      </c>
      <c r="H42" s="16">
        <f>IF(COUNT(H7:H41) &gt; 0, SQRT(SUMSQ(H7:H41)/(COUNT(H7:H41)*COUNT(H7:H41)) ), "—")</f>
        <v>0.39675782601930304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64.294966090000003</v>
      </c>
      <c r="F46" s="16">
        <v>2.1978495699999998</v>
      </c>
      <c r="G46" s="14">
        <v>35.705033909999997</v>
      </c>
      <c r="H46" s="16">
        <v>2.1978495699999998</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76.633509290000006</v>
      </c>
      <c r="F47" s="16">
        <v>2.0143730099999999</v>
      </c>
      <c r="G47" s="14">
        <v>23.366490710000001</v>
      </c>
      <c r="H47" s="16">
        <v>2.0143730099999999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73.032929640000006</v>
      </c>
      <c r="F48" s="16">
        <v>1.9867721899999999</v>
      </c>
      <c r="G48" s="14">
        <v>26.967070360000001</v>
      </c>
      <c r="H48" s="16">
        <v>1.9867721899999999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75.983459240000002</v>
      </c>
      <c r="F50" s="16">
        <v>1.9489264399999999</v>
      </c>
      <c r="G50" s="14">
        <v>24.016540760000002</v>
      </c>
      <c r="H50" s="16">
        <v>1.9489264399999999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74.989326180000006</v>
      </c>
      <c r="F51" s="16">
        <v>2.07616187</v>
      </c>
      <c r="G51" s="14">
        <v>25.010673820000001</v>
      </c>
      <c r="H51" s="16">
        <v>2.07616187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64.782377370000006</v>
      </c>
      <c r="F52" s="16">
        <v>2.0568811600000001</v>
      </c>
      <c r="G52" s="14">
        <v>35.217622630000001</v>
      </c>
      <c r="H52" s="16">
        <v>2.0568811600000001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67.214002710000003</v>
      </c>
      <c r="F53" s="16">
        <v>2.2103708499999999</v>
      </c>
      <c r="G53" s="14">
        <v>32.785997289999997</v>
      </c>
      <c r="H53" s="16">
        <v>2.2103708499999999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61.287227420000001</v>
      </c>
      <c r="F56" s="16">
        <v>2.3611536499999999</v>
      </c>
      <c r="G56" s="14">
        <v>38.712772579999999</v>
      </c>
      <c r="H56" s="16">
        <v>2.3611536499999999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67.750487699999994</v>
      </c>
      <c r="F61" s="16">
        <v>2.3022956099999998</v>
      </c>
      <c r="G61" s="14">
        <v>32.249512299999999</v>
      </c>
      <c r="H61" s="16">
        <v>2.3022956099999998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65.871090949999996</v>
      </c>
      <c r="F62" s="16">
        <v>2.7226308299999999</v>
      </c>
      <c r="G62" s="14">
        <v>34.128909049999997</v>
      </c>
      <c r="H62" s="16">
        <v>2.7226308299999999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75.455823809999998</v>
      </c>
      <c r="F66" s="16">
        <v>2.1419860900000001</v>
      </c>
      <c r="G66" s="14">
        <v>24.544176190000002</v>
      </c>
      <c r="H66" s="16">
        <v>2.1419860900000001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74.976865029999999</v>
      </c>
      <c r="F67" s="16">
        <v>2.0819527999999998</v>
      </c>
      <c r="G67" s="14">
        <v>25.023134970000001</v>
      </c>
      <c r="H67" s="16">
        <v>2.0819527999999998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64.455476180000005</v>
      </c>
      <c r="F70" s="16">
        <v>2.6889509899999999</v>
      </c>
      <c r="G70" s="14">
        <v>35.544523820000002</v>
      </c>
      <c r="H70" s="16">
        <v>2.6889509899999999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68.119036559999998</v>
      </c>
      <c r="F72" s="16">
        <v>1.9502250000000001</v>
      </c>
      <c r="G72" s="14">
        <v>31.880963439999999</v>
      </c>
      <c r="H72" s="16">
        <v>1.9502250000000001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70.488405520000001</v>
      </c>
      <c r="F73" s="16">
        <v>2.04862484</v>
      </c>
      <c r="G73" s="14">
        <v>29.511594479999999</v>
      </c>
      <c r="H73" s="16">
        <v>2.04862484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76.785590020000001</v>
      </c>
      <c r="F75" s="16">
        <v>2.4361288999999999</v>
      </c>
      <c r="G75" s="14">
        <v>23.214409979999999</v>
      </c>
      <c r="H75" s="16">
        <v>2.4361288999999999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72.042427989999993</v>
      </c>
      <c r="F76" s="16">
        <v>1.3839565199999999</v>
      </c>
      <c r="G76" s="14">
        <v>27.95757201</v>
      </c>
      <c r="H76" s="16">
        <v>1.3839565199999999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73.051943140000006</v>
      </c>
      <c r="F77" s="16">
        <v>2.3416881200000002</v>
      </c>
      <c r="G77" s="14">
        <v>26.948056860000001</v>
      </c>
      <c r="H77" s="16">
        <v>2.3416881200000002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72.915027899999998</v>
      </c>
      <c r="F81" s="16">
        <v>2.21158791</v>
      </c>
      <c r="G81" s="14">
        <v>27.084972100000002</v>
      </c>
      <c r="H81" s="16">
        <v>2.21158791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34.973372730000001</v>
      </c>
      <c r="F7" s="16">
        <v>1.7271552400000001</v>
      </c>
      <c r="G7" s="14">
        <v>65.026627270000006</v>
      </c>
      <c r="H7" s="16">
        <v>1.7271552400000001</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35.405351320000001</v>
      </c>
      <c r="F8" s="16">
        <v>1.9340087699999999</v>
      </c>
      <c r="G8" s="14">
        <v>64.594648680000006</v>
      </c>
      <c r="H8" s="16">
        <v>1.9340087699999999</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37.273797909999999</v>
      </c>
      <c r="F9" s="16">
        <v>1.89543416</v>
      </c>
      <c r="G9" s="14">
        <v>62.726202090000001</v>
      </c>
      <c r="H9" s="16">
        <v>1.89543416</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36.287040210000001</v>
      </c>
      <c r="F10" s="16">
        <v>1.5028140800000001</v>
      </c>
      <c r="G10" s="14">
        <v>63.712959789999999</v>
      </c>
      <c r="H10" s="16">
        <v>1.5028140800000001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43.741342510000003</v>
      </c>
      <c r="F11" s="16">
        <v>2.7174939299999998</v>
      </c>
      <c r="G11" s="14">
        <v>56.258657489999997</v>
      </c>
      <c r="H11" s="16">
        <v>2.7174939299999998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39.331960340000002</v>
      </c>
      <c r="F12" s="16">
        <v>2.3079355800000001</v>
      </c>
      <c r="G12" s="14">
        <v>60.668039659999998</v>
      </c>
      <c r="H12" s="16">
        <v>2.3079355800000001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38.695671009999998</v>
      </c>
      <c r="F13" s="16">
        <v>2.8015868500000001</v>
      </c>
      <c r="G13" s="14">
        <v>61.304328990000002</v>
      </c>
      <c r="H13" s="16">
        <v>2.8015868500000001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37.76299058</v>
      </c>
      <c r="F14" s="16">
        <v>2.76095859</v>
      </c>
      <c r="G14" s="14">
        <v>62.23700942</v>
      </c>
      <c r="H14" s="16">
        <v>2.76095859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44.795043120000003</v>
      </c>
      <c r="F15" s="16">
        <v>2.3918511100000002</v>
      </c>
      <c r="G15" s="14">
        <v>55.204956879999997</v>
      </c>
      <c r="H15" s="16">
        <v>2.3918511100000002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48.573215130000001</v>
      </c>
      <c r="F16" s="16">
        <v>2.4479099500000001</v>
      </c>
      <c r="G16" s="14">
        <v>51.426784869999999</v>
      </c>
      <c r="H16" s="16">
        <v>2.4479099500000001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30.291078219999999</v>
      </c>
      <c r="F17" s="16">
        <v>2.2391138599999998</v>
      </c>
      <c r="G17" s="14">
        <v>69.708921779999997</v>
      </c>
      <c r="H17" s="16">
        <v>2.2391138599999998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43.368461840000002</v>
      </c>
      <c r="F18" s="16">
        <v>2.2090819100000001</v>
      </c>
      <c r="G18" s="14">
        <v>56.631538159999998</v>
      </c>
      <c r="H18" s="16">
        <v>2.2090819100000001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47.80759518</v>
      </c>
      <c r="F19" s="16">
        <v>2.6748112900000001</v>
      </c>
      <c r="G19" s="14">
        <v>52.19240482</v>
      </c>
      <c r="H19" s="16">
        <v>2.6748112900000001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37.41177785</v>
      </c>
      <c r="F20" s="16">
        <v>3.13736697</v>
      </c>
      <c r="G20" s="14">
        <v>62.58822215</v>
      </c>
      <c r="H20" s="16">
        <v>3.13736697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45.244556129999999</v>
      </c>
      <c r="F22" s="16">
        <v>2.5818452299999999</v>
      </c>
      <c r="G22" s="14">
        <v>54.755443870000001</v>
      </c>
      <c r="H22" s="16">
        <v>2.5818452299999999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40.945927830000002</v>
      </c>
      <c r="F23" s="16">
        <v>2.36977328</v>
      </c>
      <c r="G23" s="14">
        <v>59.054072169999998</v>
      </c>
      <c r="H23" s="16">
        <v>2.36977328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21.22601628</v>
      </c>
      <c r="F24" s="16">
        <v>1.7330547999999999</v>
      </c>
      <c r="G24" s="14">
        <v>78.773983720000004</v>
      </c>
      <c r="H24" s="16">
        <v>1.7330547999999999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35.503519900000001</v>
      </c>
      <c r="F25" s="16">
        <v>2.3918999799999998</v>
      </c>
      <c r="G25" s="14">
        <v>64.496480099999999</v>
      </c>
      <c r="H25" s="16">
        <v>2.3918999799999998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49.230357210000001</v>
      </c>
      <c r="F26" s="16">
        <v>2.9961747299999999</v>
      </c>
      <c r="G26" s="14">
        <v>50.769642789999999</v>
      </c>
      <c r="H26" s="16">
        <v>2.9961747299999999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38.571913790000004</v>
      </c>
      <c r="F27" s="16">
        <v>2.3935773199999999</v>
      </c>
      <c r="G27" s="14">
        <v>61.428086209999996</v>
      </c>
      <c r="H27" s="16">
        <v>2.3935773199999999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40.512166630000003</v>
      </c>
      <c r="F28" s="16">
        <v>2.4080104900000001</v>
      </c>
      <c r="G28" s="14">
        <v>59.487833369999997</v>
      </c>
      <c r="H28" s="16">
        <v>2.4080104900000001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41.012709119999997</v>
      </c>
      <c r="F29" s="16">
        <v>2.33106415</v>
      </c>
      <c r="G29" s="14">
        <v>58.987290880000003</v>
      </c>
      <c r="H29" s="16">
        <v>2.33106415</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29.36357958</v>
      </c>
      <c r="F30" s="16">
        <v>2.5878662399999999</v>
      </c>
      <c r="G30" s="14">
        <v>70.636420419999993</v>
      </c>
      <c r="H30" s="16">
        <v>2.5878662399999999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36.638962100000001</v>
      </c>
      <c r="F31" s="16">
        <v>2.2696423999999999</v>
      </c>
      <c r="G31" s="14">
        <v>63.361037899999999</v>
      </c>
      <c r="H31" s="16">
        <v>2.2696423999999999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34.360479329999997</v>
      </c>
      <c r="F33" s="16">
        <v>2.7536691900000001</v>
      </c>
      <c r="G33" s="14">
        <v>65.639520669999996</v>
      </c>
      <c r="H33" s="16">
        <v>2.7536691900000001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51.213755210000002</v>
      </c>
      <c r="F34" s="16">
        <v>2.2648281400000001</v>
      </c>
      <c r="G34" s="14">
        <v>48.786244789999998</v>
      </c>
      <c r="H34" s="16">
        <v>2.2648281400000001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27.677271080000001</v>
      </c>
      <c r="F35" s="16">
        <v>2.0048424100000002</v>
      </c>
      <c r="G35" s="14">
        <v>72.322728920000003</v>
      </c>
      <c r="H35" s="16">
        <v>2.0048424100000002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35.310407009999999</v>
      </c>
      <c r="F36" s="16">
        <v>2.4087273900000001</v>
      </c>
      <c r="G36" s="14">
        <v>64.689592989999994</v>
      </c>
      <c r="H36" s="16">
        <v>2.4087273900000001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42.981403389999997</v>
      </c>
      <c r="F37" s="16">
        <v>2.5356013900000001</v>
      </c>
      <c r="G37" s="14">
        <v>57.018596610000003</v>
      </c>
      <c r="H37" s="16">
        <v>2.5356013900000001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44.676816700000003</v>
      </c>
      <c r="F39" s="16">
        <v>2.5135637100000001</v>
      </c>
      <c r="G39" s="14">
        <v>55.323183299999997</v>
      </c>
      <c r="H39" s="16">
        <v>2.5135637100000001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35.888155189999999</v>
      </c>
      <c r="F40" s="16">
        <v>1.77895359</v>
      </c>
      <c r="G40" s="14">
        <v>64.111844809999994</v>
      </c>
      <c r="H40" s="16">
        <v>1.77895359</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32.150354960000001</v>
      </c>
      <c r="F41" s="16">
        <v>2.7531221000000001</v>
      </c>
      <c r="G41" s="14">
        <v>67.849645039999999</v>
      </c>
      <c r="H41" s="16">
        <v>2.7531221000000001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38.694595293437494</v>
      </c>
      <c r="F42" s="16">
        <f>IF(COUNT(F7:F41) &gt; 0, SQRT(SUMSQ(F7:F41)/(COUNT(F7:F41)*COUNT(F7:F41)) ), "—")</f>
        <v>0.42410383562815412</v>
      </c>
      <c r="G42" s="14">
        <f>IF(COUNT(G7:G41) &gt; 0, AVERAGE(G7:G41), "—")</f>
        <v>61.305404706562499</v>
      </c>
      <c r="H42" s="16">
        <f>IF(COUNT(H7:H41) &gt; 0, SQRT(SUMSQ(H7:H41)/(COUNT(H7:H41)*COUNT(H7:H41)) ), "—")</f>
        <v>0.42410383562815412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48.561100719999999</v>
      </c>
      <c r="F46" s="16">
        <v>2.17943775</v>
      </c>
      <c r="G46" s="14">
        <v>51.438899280000001</v>
      </c>
      <c r="H46" s="16">
        <v>2.17943775</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46.894721420000003</v>
      </c>
      <c r="F47" s="16">
        <v>2.3623363199999998</v>
      </c>
      <c r="G47" s="14">
        <v>53.105278579999997</v>
      </c>
      <c r="H47" s="16">
        <v>2.3623363199999998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47.032233589999997</v>
      </c>
      <c r="F48" s="16">
        <v>2.38176115</v>
      </c>
      <c r="G48" s="14">
        <v>52.967766410000003</v>
      </c>
      <c r="H48" s="16">
        <v>2.38176115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50.983504689999997</v>
      </c>
      <c r="F50" s="16">
        <v>2.3465527599999998</v>
      </c>
      <c r="G50" s="14">
        <v>49.016495310000003</v>
      </c>
      <c r="H50" s="16">
        <v>2.3465527599999998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45.57170687</v>
      </c>
      <c r="F51" s="16">
        <v>2.40232344</v>
      </c>
      <c r="G51" s="14">
        <v>54.42829313</v>
      </c>
      <c r="H51" s="16">
        <v>2.40232344</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47.345579200000003</v>
      </c>
      <c r="F52" s="16">
        <v>2.2461323399999999</v>
      </c>
      <c r="G52" s="14">
        <v>52.654420799999997</v>
      </c>
      <c r="H52" s="16">
        <v>2.2461323399999999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52.665382039999997</v>
      </c>
      <c r="F53" s="16">
        <v>2.2357488600000002</v>
      </c>
      <c r="G53" s="14">
        <v>47.334617960000003</v>
      </c>
      <c r="H53" s="16">
        <v>2.2357488600000002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37.609708320000003</v>
      </c>
      <c r="F56" s="16">
        <v>2.0254203500000001</v>
      </c>
      <c r="G56" s="14">
        <v>62.390291679999997</v>
      </c>
      <c r="H56" s="16">
        <v>2.0254203500000001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48.688656430000002</v>
      </c>
      <c r="F61" s="16">
        <v>2.3090246099999998</v>
      </c>
      <c r="G61" s="14">
        <v>51.311343569999998</v>
      </c>
      <c r="H61" s="16">
        <v>2.3090246099999998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46.239148139999998</v>
      </c>
      <c r="F62" s="16">
        <v>2.4094903400000001</v>
      </c>
      <c r="G62" s="14">
        <v>53.760851860000002</v>
      </c>
      <c r="H62" s="16">
        <v>2.4094903400000001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49.848583120000001</v>
      </c>
      <c r="F66" s="16">
        <v>2.5734159399999998</v>
      </c>
      <c r="G66" s="14">
        <v>50.151416879999999</v>
      </c>
      <c r="H66" s="16">
        <v>2.5734159399999998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48.702624649999997</v>
      </c>
      <c r="F67" s="16">
        <v>2.3004151099999999</v>
      </c>
      <c r="G67" s="14">
        <v>51.297375350000003</v>
      </c>
      <c r="H67" s="16">
        <v>2.3004151099999999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44.260756200000003</v>
      </c>
      <c r="F70" s="16">
        <v>2.9751561099999999</v>
      </c>
      <c r="G70" s="14">
        <v>55.739243799999997</v>
      </c>
      <c r="H70" s="16">
        <v>2.9751561099999999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39.553920349999999</v>
      </c>
      <c r="F72" s="16">
        <v>1.98423945</v>
      </c>
      <c r="G72" s="14">
        <v>60.446079650000001</v>
      </c>
      <c r="H72" s="16">
        <v>1.98423945</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53.494528809999998</v>
      </c>
      <c r="F73" s="16">
        <v>2.6977751400000001</v>
      </c>
      <c r="G73" s="14">
        <v>46.505471190000002</v>
      </c>
      <c r="H73" s="16">
        <v>2.6977751400000001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65.246319229999997</v>
      </c>
      <c r="F75" s="16">
        <v>2.4474446900000002</v>
      </c>
      <c r="G75" s="14">
        <v>34.753680770000003</v>
      </c>
      <c r="H75" s="16">
        <v>2.4474446900000002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47.286250109999997</v>
      </c>
      <c r="F76" s="16">
        <v>1.5522124399999999</v>
      </c>
      <c r="G76" s="14">
        <v>52.713749890000003</v>
      </c>
      <c r="H76" s="16">
        <v>1.5522124399999999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48.297192459999998</v>
      </c>
      <c r="F77" s="16">
        <v>1.9418564599999999</v>
      </c>
      <c r="G77" s="14">
        <v>51.702807540000002</v>
      </c>
      <c r="H77" s="16">
        <v>1.9418564599999999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50.183237130000002</v>
      </c>
      <c r="F81" s="16">
        <v>2.1296881000000001</v>
      </c>
      <c r="G81" s="14">
        <v>49.816762869999998</v>
      </c>
      <c r="H81" s="16">
        <v>2.1296881000000001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(6215/B7*100)</f>
        <v>84.362698520428935</v>
      </c>
      <c r="D7" s="15">
        <v>1152</v>
      </c>
      <c r="E7" s="14">
        <v>52.334870539999997</v>
      </c>
      <c r="F7" s="16">
        <v>1.94977702</v>
      </c>
      <c r="G7" s="14">
        <v>47.665129460000003</v>
      </c>
      <c r="H7" s="16">
        <v>1.94977702</v>
      </c>
      <c r="I7" s="14" t="s">
        <v>139</v>
      </c>
      <c r="J7" s="16" t="s">
        <v>139</v>
      </c>
      <c r="K7" s="14">
        <v>0</v>
      </c>
      <c r="L7" s="16">
        <v>0</v>
      </c>
      <c r="M7" s="14">
        <v>0</v>
      </c>
      <c r="N7" s="16">
        <v>0</v>
      </c>
      <c r="O7" s="14">
        <v>0</v>
      </c>
      <c r="P7" s="16">
        <v>0</v>
      </c>
      <c r="Q7" s="14">
        <v>0</v>
      </c>
      <c r="R7" s="16">
        <v>0</v>
      </c>
    </row>
    <row r="8" spans="1:18" x14ac:dyDescent="0.25">
      <c r="A8" s="11" t="s">
        <v>140</v>
      </c>
      <c r="B8" s="13">
        <v>3564</v>
      </c>
      <c r="C8" s="14">
        <f>(2973/B8*100)</f>
        <v>83.417508417508415</v>
      </c>
      <c r="D8" s="15">
        <v>591</v>
      </c>
      <c r="E8" s="14">
        <v>54.576416600000002</v>
      </c>
      <c r="F8" s="16">
        <v>1.96038796</v>
      </c>
      <c r="G8" s="14">
        <v>45.423583399999998</v>
      </c>
      <c r="H8" s="16">
        <v>1.96038796</v>
      </c>
      <c r="I8" s="14" t="s">
        <v>139</v>
      </c>
      <c r="J8" s="16" t="s">
        <v>139</v>
      </c>
      <c r="K8" s="14">
        <v>0</v>
      </c>
      <c r="L8" s="16">
        <v>0</v>
      </c>
      <c r="M8" s="14">
        <v>0</v>
      </c>
      <c r="N8" s="16">
        <v>0</v>
      </c>
      <c r="O8" s="14">
        <v>0</v>
      </c>
      <c r="P8" s="16">
        <v>0</v>
      </c>
      <c r="Q8" s="14">
        <v>0</v>
      </c>
      <c r="R8" s="16">
        <v>0</v>
      </c>
    </row>
    <row r="9" spans="1:18" x14ac:dyDescent="0.25">
      <c r="A9" s="11" t="s">
        <v>141</v>
      </c>
      <c r="B9" s="13">
        <v>4899</v>
      </c>
      <c r="C9" s="14">
        <f>(4197/B9*100)</f>
        <v>85.670545009185545</v>
      </c>
      <c r="D9" s="15">
        <v>702</v>
      </c>
      <c r="E9" s="14">
        <v>50.48217863</v>
      </c>
      <c r="F9" s="16">
        <v>2.0311447</v>
      </c>
      <c r="G9" s="14">
        <v>49.51782137</v>
      </c>
      <c r="H9" s="16">
        <v>2.0311447</v>
      </c>
      <c r="I9" s="14" t="s">
        <v>139</v>
      </c>
      <c r="J9" s="16" t="s">
        <v>139</v>
      </c>
      <c r="K9" s="14">
        <v>0</v>
      </c>
      <c r="L9" s="16">
        <v>0</v>
      </c>
      <c r="M9" s="14">
        <v>0</v>
      </c>
      <c r="N9" s="16">
        <v>0</v>
      </c>
      <c r="O9" s="14">
        <v>0</v>
      </c>
      <c r="P9" s="16">
        <v>0</v>
      </c>
      <c r="Q9" s="14">
        <v>0</v>
      </c>
      <c r="R9" s="16">
        <v>0</v>
      </c>
    </row>
    <row r="10" spans="1:18" x14ac:dyDescent="0.25">
      <c r="A10" s="11" t="s">
        <v>142</v>
      </c>
      <c r="B10" s="13">
        <v>10036</v>
      </c>
      <c r="C10" s="14">
        <f>(8388/B10*100)</f>
        <v>83.579115185332796</v>
      </c>
      <c r="D10" s="15">
        <v>1648</v>
      </c>
      <c r="E10" s="14">
        <v>52.839088820000001</v>
      </c>
      <c r="F10" s="16">
        <v>1.7175304300000001</v>
      </c>
      <c r="G10" s="14">
        <v>47.160911179999999</v>
      </c>
      <c r="H10" s="16">
        <v>1.7175304300000001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(3021/B11*100)</f>
        <v>85.026737967914428</v>
      </c>
      <c r="D11" s="15">
        <v>532</v>
      </c>
      <c r="E11" s="14">
        <v>48.912643490000001</v>
      </c>
      <c r="F11" s="16">
        <v>2.5396439499999999</v>
      </c>
      <c r="G11" s="14">
        <v>51.087356509999999</v>
      </c>
      <c r="H11" s="16">
        <v>2.5396439499999999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(2921/B12*100)</f>
        <v>84.130184331797224</v>
      </c>
      <c r="D12" s="15">
        <v>551</v>
      </c>
      <c r="E12" s="14">
        <v>50.877344970000003</v>
      </c>
      <c r="F12" s="16">
        <v>2.5187885300000001</v>
      </c>
      <c r="G12" s="14">
        <v>49.122655029999997</v>
      </c>
      <c r="H12" s="16">
        <v>2.5187885300000001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49.22241099</v>
      </c>
      <c r="F13" s="16">
        <v>2.4518365000000002</v>
      </c>
      <c r="G13" s="14">
        <v>50.77758901</v>
      </c>
      <c r="H13" s="16">
        <v>2.4518365000000002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(2337/B14*100)</f>
        <v>83.494105037513407</v>
      </c>
      <c r="D14" s="15">
        <v>462</v>
      </c>
      <c r="E14" s="14">
        <v>53.699370930000001</v>
      </c>
      <c r="F14" s="16">
        <v>2.73530491</v>
      </c>
      <c r="G14" s="14">
        <v>46.300629069999999</v>
      </c>
      <c r="H14" s="16">
        <v>2.73530491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(2543/B15*100)</f>
        <v>84.233189797946338</v>
      </c>
      <c r="D15" s="15">
        <v>476</v>
      </c>
      <c r="E15" s="14">
        <v>46.570279489999997</v>
      </c>
      <c r="F15" s="16">
        <v>2.4437794500000001</v>
      </c>
      <c r="G15" s="14">
        <v>53.429720510000003</v>
      </c>
      <c r="H15" s="16">
        <v>2.4437794500000001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(2536/B16*100)</f>
        <v>84.617951284617959</v>
      </c>
      <c r="D16" s="15">
        <v>461</v>
      </c>
      <c r="E16" s="14">
        <v>57.206296629999997</v>
      </c>
      <c r="F16" s="16">
        <v>2.1224254299999998</v>
      </c>
      <c r="G16" s="14">
        <v>42.793703370000003</v>
      </c>
      <c r="H16" s="16">
        <v>2.1224254299999998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(2808/B17*100)</f>
        <v>84.910795282733602</v>
      </c>
      <c r="D17" s="15">
        <v>499</v>
      </c>
      <c r="E17" s="14">
        <v>51.191996879999998</v>
      </c>
      <c r="F17" s="16">
        <v>2.4312093899999998</v>
      </c>
      <c r="G17" s="14">
        <v>48.808003120000002</v>
      </c>
      <c r="H17" s="16">
        <v>2.4312093899999998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(2351/B18*100)</f>
        <v>83.191790516631286</v>
      </c>
      <c r="D18" s="15">
        <v>475</v>
      </c>
      <c r="E18" s="14">
        <v>52.767038329999998</v>
      </c>
      <c r="F18" s="16">
        <v>2.6610119700000001</v>
      </c>
      <c r="G18" s="14">
        <v>47.232961670000002</v>
      </c>
      <c r="H18" s="16">
        <v>2.6610119700000001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(2378/B19*100)</f>
        <v>84.686609686609685</v>
      </c>
      <c r="D19" s="15">
        <v>430</v>
      </c>
      <c r="E19" s="14">
        <v>54.208524760000003</v>
      </c>
      <c r="F19" s="16">
        <v>2.7416372899999999</v>
      </c>
      <c r="G19" s="14">
        <v>45.791475239999997</v>
      </c>
      <c r="H19" s="16">
        <v>2.7416372899999999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(1371/B20*100)</f>
        <v>84.110429447852766</v>
      </c>
      <c r="D20" s="15">
        <v>259</v>
      </c>
      <c r="E20" s="14">
        <v>56.96205776</v>
      </c>
      <c r="F20" s="16">
        <v>2.9556944299999999</v>
      </c>
      <c r="G20" s="14">
        <v>43.03794224</v>
      </c>
      <c r="H20" s="16">
        <v>2.9556944299999999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(2483/B22*100)</f>
        <v>84.7151142954623</v>
      </c>
      <c r="D22" s="15">
        <v>448</v>
      </c>
      <c r="E22" s="14">
        <v>56.453777469999999</v>
      </c>
      <c r="F22" s="16">
        <v>2.1605050499999998</v>
      </c>
      <c r="G22" s="14">
        <v>43.546222530000001</v>
      </c>
      <c r="H22" s="16">
        <v>2.1605050499999998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(4860/B23*100)</f>
        <v>83.923329304092547</v>
      </c>
      <c r="D23" s="15">
        <v>931</v>
      </c>
      <c r="E23" s="14">
        <v>54.54836924</v>
      </c>
      <c r="F23" s="16">
        <v>2.5830885600000002</v>
      </c>
      <c r="G23" s="14">
        <v>45.45163076</v>
      </c>
      <c r="H23" s="16">
        <v>2.5830885600000002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(2773/B24*100)</f>
        <v>83.073696824445776</v>
      </c>
      <c r="D24" s="15">
        <v>565</v>
      </c>
      <c r="E24" s="14">
        <v>56.994761869999998</v>
      </c>
      <c r="F24" s="16">
        <v>1.8603010499999999</v>
      </c>
      <c r="G24" s="14">
        <v>43.005238130000002</v>
      </c>
      <c r="H24" s="16">
        <v>1.8603010499999999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(2408/B25*100)</f>
        <v>82.692307692307693</v>
      </c>
      <c r="D25" s="15">
        <v>504</v>
      </c>
      <c r="E25" s="14">
        <v>60.982077699999998</v>
      </c>
      <c r="F25" s="16">
        <v>2.0392016800000001</v>
      </c>
      <c r="G25" s="14">
        <v>39.017922300000002</v>
      </c>
      <c r="H25" s="16">
        <v>2.0392016800000001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(2029/B26*100)</f>
        <v>82.816326530612244</v>
      </c>
      <c r="D26" s="15">
        <v>421</v>
      </c>
      <c r="E26" s="14">
        <v>56.350457480000003</v>
      </c>
      <c r="F26" s="16">
        <v>2.71183343</v>
      </c>
      <c r="G26" s="14">
        <v>43.649542519999997</v>
      </c>
      <c r="H26" s="16">
        <v>2.71183343</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(2205/B27*100)</f>
        <v>84.288990825688074</v>
      </c>
      <c r="D27" s="15">
        <v>411</v>
      </c>
      <c r="E27" s="14">
        <v>57.167478559999999</v>
      </c>
      <c r="F27" s="16">
        <v>2.4753386100000001</v>
      </c>
      <c r="G27" s="14">
        <v>42.832521440000001</v>
      </c>
      <c r="H27" s="16">
        <v>2.4753386100000001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(3238/B28*100)</f>
        <v>86.002656042496682</v>
      </c>
      <c r="D28" s="15">
        <v>527</v>
      </c>
      <c r="E28" s="14">
        <v>58.474210280000001</v>
      </c>
      <c r="F28" s="16">
        <v>2.7239498900000001</v>
      </c>
      <c r="G28" s="14">
        <v>41.525789719999999</v>
      </c>
      <c r="H28" s="16">
        <v>2.7239498900000001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(2224/B29*100)</f>
        <v>82.830540037243949</v>
      </c>
      <c r="D29" s="15">
        <v>461</v>
      </c>
      <c r="E29" s="14">
        <v>46.396339300000001</v>
      </c>
      <c r="F29" s="16">
        <v>2.3557173300000001</v>
      </c>
      <c r="G29" s="14">
        <v>53.603660699999999</v>
      </c>
      <c r="H29" s="16">
        <v>2.3557173300000001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(1892/B30*100)</f>
        <v>83.605832965090585</v>
      </c>
      <c r="D30" s="15">
        <v>371</v>
      </c>
      <c r="E30" s="14">
        <v>47.210939060000001</v>
      </c>
      <c r="F30" s="16">
        <v>2.6909689800000001</v>
      </c>
      <c r="G30" s="14">
        <v>52.789060939999999</v>
      </c>
      <c r="H30" s="16">
        <v>2.6909689800000001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(2330/B31*100)</f>
        <v>84.727272727272734</v>
      </c>
      <c r="D31" s="15">
        <v>420</v>
      </c>
      <c r="E31" s="14">
        <v>47.885892220000002</v>
      </c>
      <c r="F31" s="16">
        <v>2.3221515300000002</v>
      </c>
      <c r="G31" s="14">
        <v>52.114107779999998</v>
      </c>
      <c r="H31" s="16">
        <v>2.3221515300000002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(3141/B33*100)</f>
        <v>85.492651061513342</v>
      </c>
      <c r="D33" s="15">
        <v>533</v>
      </c>
      <c r="E33" s="14">
        <v>53.156446000000003</v>
      </c>
      <c r="F33" s="16">
        <v>2.8006881899999998</v>
      </c>
      <c r="G33" s="14">
        <v>46.843553999999997</v>
      </c>
      <c r="H33" s="16">
        <v>2.8006881899999998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(2800/B34*100)</f>
        <v>84.464555052790345</v>
      </c>
      <c r="D34" s="15">
        <v>515</v>
      </c>
      <c r="E34" s="14">
        <v>56.614858130000002</v>
      </c>
      <c r="F34" s="16">
        <v>2.1462103300000002</v>
      </c>
      <c r="G34" s="14">
        <v>43.385141869999998</v>
      </c>
      <c r="H34" s="16">
        <v>2.1462103300000002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(2921/B35*100)</f>
        <v>83.338088445078455</v>
      </c>
      <c r="D35" s="15">
        <v>584</v>
      </c>
      <c r="E35" s="14">
        <v>52.448805040000003</v>
      </c>
      <c r="F35" s="16">
        <v>2.55910897</v>
      </c>
      <c r="G35" s="14">
        <v>47.551194959999997</v>
      </c>
      <c r="H35" s="16">
        <v>2.55910897</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(2824/B36*100)</f>
        <v>84.753901560624243</v>
      </c>
      <c r="D36" s="15">
        <v>508</v>
      </c>
      <c r="E36" s="14">
        <v>56.475589460000002</v>
      </c>
      <c r="F36" s="16">
        <v>2.4984280999999999</v>
      </c>
      <c r="G36" s="14">
        <v>43.524410539999998</v>
      </c>
      <c r="H36" s="16">
        <v>2.4984280999999999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(2308/B37*100)</f>
        <v>84.635130179684637</v>
      </c>
      <c r="D37" s="15">
        <v>419</v>
      </c>
      <c r="E37" s="14">
        <v>50.626979830000003</v>
      </c>
      <c r="F37" s="16">
        <v>2.5406495599999999</v>
      </c>
      <c r="G37" s="14">
        <v>49.373020169999997</v>
      </c>
      <c r="H37" s="16">
        <v>2.5406495599999999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(2462/B39*100)</f>
        <v>83.260060872505917</v>
      </c>
      <c r="D39" s="15">
        <v>495</v>
      </c>
      <c r="E39" s="14">
        <v>63.354239720000002</v>
      </c>
      <c r="F39" s="16">
        <v>2.5371726899999998</v>
      </c>
      <c r="G39" s="14">
        <v>36.645760279999998</v>
      </c>
      <c r="H39" s="16">
        <v>2.5371726899999998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(6005/B40*100)</f>
        <v>82.999308914996533</v>
      </c>
      <c r="D40" s="15">
        <v>1230</v>
      </c>
      <c r="E40" s="14">
        <v>51.987188740000001</v>
      </c>
      <c r="F40" s="16">
        <v>2.4096470700000001</v>
      </c>
      <c r="G40" s="14">
        <v>48.012811259999999</v>
      </c>
      <c r="H40" s="16">
        <v>2.4096470700000001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(2427/B41*100)</f>
        <v>84.919524142757169</v>
      </c>
      <c r="D41" s="15">
        <v>431</v>
      </c>
      <c r="E41" s="14">
        <v>54.233878300000001</v>
      </c>
      <c r="F41" s="16">
        <v>2.36293212</v>
      </c>
      <c r="G41" s="14">
        <v>45.766121699999999</v>
      </c>
      <c r="H41" s="16">
        <v>2.36293212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84.15257624852714</v>
      </c>
      <c r="D42" s="15">
        <f>IF(COUNT(D7:D41) &gt; 0, AVERAGE(D7:D41), "—")</f>
        <v>579.65625</v>
      </c>
      <c r="E42" s="14">
        <f>IF(COUNT(E7:E41) &gt; 0, AVERAGE(E7:E41), "—")</f>
        <v>53.537900225625002</v>
      </c>
      <c r="F42" s="16">
        <f>IF(COUNT(F7:F41) &gt; 0, SQRT(SUMSQ(F7:F41)/(COUNT(F7:F41)*COUNT(F7:F41)) ), "—")</f>
        <v>0.4288152504964598</v>
      </c>
      <c r="G42" s="14">
        <f>IF(COUNT(G7:G41) &gt; 0, AVERAGE(G7:G41), "—")</f>
        <v>46.462099774375005</v>
      </c>
      <c r="H42" s="16">
        <f>IF(COUNT(H7:H41) &gt; 0, SQRT(SUMSQ(H7:H41)/(COUNT(H7:H41)*COUNT(H7:H41)) ), "—")</f>
        <v>0.4288152504964598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(9935/B46*100)</f>
        <v>89.763281532345502</v>
      </c>
      <c r="D46" s="15">
        <v>1133</v>
      </c>
      <c r="E46" s="14">
        <v>59.598120880000003</v>
      </c>
      <c r="F46" s="16">
        <v>2.0208986000000002</v>
      </c>
      <c r="G46" s="14">
        <v>40.401879119999997</v>
      </c>
      <c r="H46" s="16">
        <v>2.0208986000000002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(2637/B47*100)</f>
        <v>84.927536231884062</v>
      </c>
      <c r="D47" s="15">
        <v>468</v>
      </c>
      <c r="E47" s="14">
        <v>57.117410970000002</v>
      </c>
      <c r="F47" s="16">
        <v>2.6336587100000002</v>
      </c>
      <c r="G47" s="14">
        <v>42.882589029999998</v>
      </c>
      <c r="H47" s="16">
        <v>2.6336587100000002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(4309/B48*100)</f>
        <v>83.523938747819344</v>
      </c>
      <c r="D48" s="15">
        <v>850</v>
      </c>
      <c r="E48" s="14">
        <v>60.816684350000003</v>
      </c>
      <c r="F48" s="16">
        <v>2.2215624300000001</v>
      </c>
      <c r="G48" s="14">
        <v>39.183315649999997</v>
      </c>
      <c r="H48" s="16">
        <v>2.2215624300000001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(4803/B50*100)</f>
        <v>85.20489622139435</v>
      </c>
      <c r="D50" s="15">
        <v>834</v>
      </c>
      <c r="E50" s="14">
        <v>59.994219440000002</v>
      </c>
      <c r="F50" s="16">
        <v>2.0309974199999998</v>
      </c>
      <c r="G50" s="14">
        <v>40.005780559999998</v>
      </c>
      <c r="H50" s="16">
        <v>2.0309974199999998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(2957/B51*100)</f>
        <v>87.692763938315537</v>
      </c>
      <c r="D51" s="15">
        <v>415</v>
      </c>
      <c r="E51" s="14">
        <v>56.47822558</v>
      </c>
      <c r="F51" s="16">
        <v>2.8650252200000002</v>
      </c>
      <c r="G51" s="14">
        <v>43.52177442</v>
      </c>
      <c r="H51" s="16">
        <v>2.8650252200000002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(2327/B52*100)</f>
        <v>83.22603719599428</v>
      </c>
      <c r="D52" s="15">
        <v>469</v>
      </c>
      <c r="E52" s="14">
        <v>53.783421250000004</v>
      </c>
      <c r="F52" s="16">
        <v>2.2014587699999999</v>
      </c>
      <c r="G52" s="14">
        <v>46.216578749999996</v>
      </c>
      <c r="H52" s="16">
        <v>2.2014587699999999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(2365/B53*100)</f>
        <v>84.133760227676973</v>
      </c>
      <c r="D53" s="15">
        <v>446</v>
      </c>
      <c r="E53" s="14">
        <v>66.646291149999996</v>
      </c>
      <c r="F53" s="16">
        <v>2.45184224</v>
      </c>
      <c r="G53" s="14">
        <v>33.353708849999997</v>
      </c>
      <c r="H53" s="16">
        <v>2.45184224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(2246/B56*100)</f>
        <v>83.681073025335323</v>
      </c>
      <c r="D56" s="15">
        <v>438</v>
      </c>
      <c r="E56" s="14">
        <v>59.203543259999996</v>
      </c>
      <c r="F56" s="16">
        <v>2.5761550099999999</v>
      </c>
      <c r="G56" s="14">
        <v>40.796456740000004</v>
      </c>
      <c r="H56" s="16">
        <v>2.5761550099999999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44.95468357</v>
      </c>
      <c r="F61" s="16">
        <v>2.3721794699999998</v>
      </c>
      <c r="G61" s="14">
        <v>55.04531643</v>
      </c>
      <c r="H61" s="16">
        <v>2.3721794699999998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(1876/B62*100)</f>
        <v>83.526268922528942</v>
      </c>
      <c r="D62" s="15">
        <v>370</v>
      </c>
      <c r="E62" s="14">
        <v>56.199939430000001</v>
      </c>
      <c r="F62" s="16">
        <v>2.0894129299999999</v>
      </c>
      <c r="G62" s="14">
        <v>43.800060569999999</v>
      </c>
      <c r="H62" s="16">
        <v>2.0894129299999999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(2438/B66*100)</f>
        <v>84.243261921216302</v>
      </c>
      <c r="D66" s="15">
        <v>456</v>
      </c>
      <c r="E66" s="14">
        <v>55.336959499999999</v>
      </c>
      <c r="F66" s="16">
        <v>2.3818669699999999</v>
      </c>
      <c r="G66" s="14">
        <v>44.663040500000001</v>
      </c>
      <c r="H66" s="16">
        <v>2.3818669699999999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(3105/B67*100)</f>
        <v>88.436342922244364</v>
      </c>
      <c r="D67" s="15">
        <v>406</v>
      </c>
      <c r="E67" s="14">
        <v>57.081821679999997</v>
      </c>
      <c r="F67" s="16">
        <v>2.4471255300000001</v>
      </c>
      <c r="G67" s="14">
        <v>42.918178320000003</v>
      </c>
      <c r="H67" s="16">
        <v>2.4471255300000001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(2477/B70*100)</f>
        <v>84.568111983612155</v>
      </c>
      <c r="D70" s="15">
        <v>452</v>
      </c>
      <c r="E70" s="14">
        <v>47.394486399999998</v>
      </c>
      <c r="F70" s="16">
        <v>2.2427809399999998</v>
      </c>
      <c r="G70" s="14">
        <v>52.605513600000002</v>
      </c>
      <c r="H70" s="16">
        <v>2.2427809399999998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(3234/B72*100)</f>
        <v>83.157624067883773</v>
      </c>
      <c r="D72" s="15">
        <v>655</v>
      </c>
      <c r="E72" s="14">
        <v>64.046490950000006</v>
      </c>
      <c r="F72" s="16">
        <v>2.2467777999999998</v>
      </c>
      <c r="G72" s="14">
        <v>35.953509050000001</v>
      </c>
      <c r="H72" s="16">
        <v>2.2467777999999998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(3070/B73*100)</f>
        <v>85.348901862663325</v>
      </c>
      <c r="D73" s="15">
        <v>527</v>
      </c>
      <c r="E73" s="14">
        <v>62.610746220000003</v>
      </c>
      <c r="F73" s="16">
        <v>3.1019128899999999</v>
      </c>
      <c r="G73" s="14">
        <v>37.389253779999997</v>
      </c>
      <c r="H73" s="16">
        <v>3.1019128899999999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(2056/B75*100)</f>
        <v>85.453034081463002</v>
      </c>
      <c r="D75" s="15">
        <v>350</v>
      </c>
      <c r="E75" s="14">
        <v>63.134713359999999</v>
      </c>
      <c r="F75" s="16">
        <v>2.72867777</v>
      </c>
      <c r="G75" s="14">
        <v>36.865286640000001</v>
      </c>
      <c r="H75" s="16">
        <v>2.72867777</v>
      </c>
      <c r="I75" s="14" t="s">
        <v>139</v>
      </c>
      <c r="J75" s="16" t="s">
        <v>139</v>
      </c>
      <c r="K75" s="14">
        <v>0</v>
      </c>
      <c r="L75" s="16">
        <v>0</v>
      </c>
      <c r="M75" s="14">
        <v>0</v>
      </c>
      <c r="N75" s="16">
        <v>0</v>
      </c>
      <c r="O75" s="14">
        <v>0</v>
      </c>
      <c r="P75" s="16">
        <v>0</v>
      </c>
      <c r="Q75" s="14">
        <v>0</v>
      </c>
      <c r="R75" s="16">
        <v>0</v>
      </c>
    </row>
    <row r="76" spans="1:18" x14ac:dyDescent="0.25">
      <c r="A76" s="11" t="s">
        <v>209</v>
      </c>
      <c r="B76" s="13">
        <v>7052</v>
      </c>
      <c r="C76" s="14">
        <f>(5892/B76*100)</f>
        <v>83.550765740215539</v>
      </c>
      <c r="D76" s="15">
        <v>1160</v>
      </c>
      <c r="E76" s="14">
        <v>60.841692430000002</v>
      </c>
      <c r="F76" s="16">
        <v>1.7158647899999999</v>
      </c>
      <c r="G76" s="14">
        <v>39.158307569999998</v>
      </c>
      <c r="H76" s="16">
        <v>1.7158647899999999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(2472/B77*100)</f>
        <v>85.006877579092162</v>
      </c>
      <c r="D77" s="15">
        <v>436</v>
      </c>
      <c r="E77" s="14">
        <v>60.823055680000003</v>
      </c>
      <c r="F77" s="16">
        <v>3.0750639299999998</v>
      </c>
      <c r="G77" s="14">
        <v>39.176944319999997</v>
      </c>
      <c r="H77" s="16">
        <v>3.0750639299999998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(3460/B81*100)</f>
        <v>83.113139562815277</v>
      </c>
      <c r="D81" s="15">
        <v>703</v>
      </c>
      <c r="E81" s="14">
        <v>60.717275299999997</v>
      </c>
      <c r="F81" s="16">
        <v>2.4778600000000002</v>
      </c>
      <c r="G81" s="14">
        <v>39.282724700000003</v>
      </c>
      <c r="H81" s="16">
        <v>2.4778600000000002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256</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(6215/B7*100)</f>
        <v>84.362698520428935</v>
      </c>
      <c r="D7" s="15">
        <v>1152</v>
      </c>
      <c r="E7" s="14">
        <v>75.423959460000006</v>
      </c>
      <c r="F7" s="16">
        <v>1.31875477</v>
      </c>
      <c r="G7" s="14">
        <v>6.6281502200000002</v>
      </c>
      <c r="H7" s="16">
        <v>0.89286493</v>
      </c>
      <c r="I7" s="14">
        <v>17.94789033</v>
      </c>
      <c r="J7" s="16">
        <v>1.16634784</v>
      </c>
      <c r="K7" s="14" t="s">
        <v>139</v>
      </c>
      <c r="L7" s="16" t="s">
        <v>139</v>
      </c>
      <c r="M7" s="14">
        <v>0</v>
      </c>
      <c r="N7" s="16">
        <v>0</v>
      </c>
      <c r="O7" s="14">
        <v>0</v>
      </c>
      <c r="P7" s="16">
        <v>0</v>
      </c>
      <c r="Q7" s="14">
        <v>0</v>
      </c>
      <c r="R7" s="16">
        <v>0</v>
      </c>
      <c r="S7" s="14">
        <v>0</v>
      </c>
      <c r="T7" s="16">
        <v>0</v>
      </c>
    </row>
    <row r="8" spans="1:20" x14ac:dyDescent="0.25">
      <c r="A8" s="11" t="s">
        <v>140</v>
      </c>
      <c r="B8" s="13">
        <v>3564</v>
      </c>
      <c r="C8" s="14">
        <f>(2973/B8*100)</f>
        <v>83.417508417508415</v>
      </c>
      <c r="D8" s="15">
        <v>591</v>
      </c>
      <c r="E8" s="14">
        <v>79.766681480000003</v>
      </c>
      <c r="F8" s="16">
        <v>1.71022224</v>
      </c>
      <c r="G8" s="14">
        <v>8.1835806699999996</v>
      </c>
      <c r="H8" s="16">
        <v>1.11138435</v>
      </c>
      <c r="I8" s="14">
        <v>12.04973785</v>
      </c>
      <c r="J8" s="16">
        <v>1.3784155199999999</v>
      </c>
      <c r="K8" s="14" t="s">
        <v>139</v>
      </c>
      <c r="L8" s="16" t="s">
        <v>139</v>
      </c>
      <c r="M8" s="14">
        <v>0</v>
      </c>
      <c r="N8" s="16">
        <v>0</v>
      </c>
      <c r="O8" s="14">
        <v>0</v>
      </c>
      <c r="P8" s="16">
        <v>0</v>
      </c>
      <c r="Q8" s="14">
        <v>0</v>
      </c>
      <c r="R8" s="16">
        <v>0</v>
      </c>
      <c r="S8" s="14">
        <v>0</v>
      </c>
      <c r="T8" s="16">
        <v>0</v>
      </c>
    </row>
    <row r="9" spans="1:20" x14ac:dyDescent="0.25">
      <c r="A9" s="11" t="s">
        <v>141</v>
      </c>
      <c r="B9" s="13">
        <v>4899</v>
      </c>
      <c r="C9" s="14">
        <f>(4197/B9*100)</f>
        <v>85.670545009185545</v>
      </c>
      <c r="D9" s="15">
        <v>702</v>
      </c>
      <c r="E9" s="14">
        <v>77.010925299999997</v>
      </c>
      <c r="F9" s="16">
        <v>1.6215066199999999</v>
      </c>
      <c r="G9" s="14">
        <v>8.8745860000000008</v>
      </c>
      <c r="H9" s="16">
        <v>1.11032146</v>
      </c>
      <c r="I9" s="14">
        <v>14.114488700000001</v>
      </c>
      <c r="J9" s="16">
        <v>1.3318740899999999</v>
      </c>
      <c r="K9" s="14" t="s">
        <v>139</v>
      </c>
      <c r="L9" s="16" t="s">
        <v>139</v>
      </c>
      <c r="M9" s="14">
        <v>0</v>
      </c>
      <c r="N9" s="16">
        <v>0</v>
      </c>
      <c r="O9" s="14">
        <v>0</v>
      </c>
      <c r="P9" s="16">
        <v>0</v>
      </c>
      <c r="Q9" s="14">
        <v>0</v>
      </c>
      <c r="R9" s="16">
        <v>0</v>
      </c>
      <c r="S9" s="14">
        <v>0</v>
      </c>
      <c r="T9" s="16">
        <v>0</v>
      </c>
    </row>
    <row r="10" spans="1:20" x14ac:dyDescent="0.25">
      <c r="A10" s="11" t="s">
        <v>142</v>
      </c>
      <c r="B10" s="13">
        <v>10036</v>
      </c>
      <c r="C10" s="14">
        <f>(8388/B10*100)</f>
        <v>83.579115185332796</v>
      </c>
      <c r="D10" s="15">
        <v>1648</v>
      </c>
      <c r="E10" s="14">
        <v>73.443764909999999</v>
      </c>
      <c r="F10" s="16">
        <v>1.4269855199999999</v>
      </c>
      <c r="G10" s="14">
        <v>7.0241424700000001</v>
      </c>
      <c r="H10" s="16">
        <v>0.88381005000000001</v>
      </c>
      <c r="I10" s="14">
        <v>19.53209262</v>
      </c>
      <c r="J10" s="16">
        <v>1.38515275</v>
      </c>
      <c r="K10" s="14" t="s">
        <v>139</v>
      </c>
      <c r="L10" s="16" t="s">
        <v>139</v>
      </c>
      <c r="M10" s="14">
        <v>0</v>
      </c>
      <c r="N10" s="16">
        <v>0</v>
      </c>
      <c r="O10" s="14">
        <v>0</v>
      </c>
      <c r="P10" s="16">
        <v>0</v>
      </c>
      <c r="Q10" s="14">
        <v>0</v>
      </c>
      <c r="R10" s="16">
        <v>0</v>
      </c>
      <c r="S10" s="14">
        <v>0</v>
      </c>
      <c r="T10" s="16">
        <v>0</v>
      </c>
    </row>
    <row r="11" spans="1:20" x14ac:dyDescent="0.25">
      <c r="A11" s="11" t="s">
        <v>143</v>
      </c>
      <c r="B11" s="13">
        <v>3553</v>
      </c>
      <c r="C11" s="14">
        <f>(3021/B11*100)</f>
        <v>85.026737967914428</v>
      </c>
      <c r="D11" s="15">
        <v>532</v>
      </c>
      <c r="E11" s="14">
        <v>89.041157470000002</v>
      </c>
      <c r="F11" s="16">
        <v>1.46543617</v>
      </c>
      <c r="G11" s="14">
        <v>5.2893154899999999</v>
      </c>
      <c r="H11" s="16">
        <v>1.0347065200000001</v>
      </c>
      <c r="I11" s="14">
        <v>5.6695270400000002</v>
      </c>
      <c r="J11" s="16">
        <v>1.0365726099999999</v>
      </c>
      <c r="K11" s="14" t="s">
        <v>139</v>
      </c>
      <c r="L11" s="16" t="s">
        <v>139</v>
      </c>
      <c r="M11" s="14">
        <v>0</v>
      </c>
      <c r="N11" s="16">
        <v>0</v>
      </c>
      <c r="O11" s="14">
        <v>0</v>
      </c>
      <c r="P11" s="16">
        <v>0</v>
      </c>
      <c r="Q11" s="14">
        <v>0</v>
      </c>
      <c r="R11" s="16">
        <v>0</v>
      </c>
      <c r="S11" s="14">
        <v>0</v>
      </c>
      <c r="T11" s="16">
        <v>0</v>
      </c>
    </row>
    <row r="12" spans="1:20" x14ac:dyDescent="0.25">
      <c r="A12" s="11" t="s">
        <v>144</v>
      </c>
      <c r="B12" s="13">
        <v>3472</v>
      </c>
      <c r="C12" s="14">
        <f>(2921/B12*100)</f>
        <v>84.130184331797224</v>
      </c>
      <c r="D12" s="15">
        <v>551</v>
      </c>
      <c r="E12" s="14">
        <v>86.076550069999996</v>
      </c>
      <c r="F12" s="16">
        <v>1.6069295100000001</v>
      </c>
      <c r="G12" s="14">
        <v>4.0721713800000003</v>
      </c>
      <c r="H12" s="16">
        <v>0.84781996000000004</v>
      </c>
      <c r="I12" s="14">
        <v>9.85127855</v>
      </c>
      <c r="J12" s="16">
        <v>1.35270494</v>
      </c>
      <c r="K12" s="14" t="s">
        <v>139</v>
      </c>
      <c r="L12" s="16" t="s">
        <v>139</v>
      </c>
      <c r="M12" s="14">
        <v>0</v>
      </c>
      <c r="N12" s="16">
        <v>0</v>
      </c>
      <c r="O12" s="14">
        <v>0</v>
      </c>
      <c r="P12" s="16">
        <v>0</v>
      </c>
      <c r="Q12" s="14">
        <v>0</v>
      </c>
      <c r="R12" s="16">
        <v>0</v>
      </c>
      <c r="S12" s="14">
        <v>0</v>
      </c>
      <c r="T12" s="16">
        <v>0</v>
      </c>
    </row>
    <row r="13" spans="1:20" x14ac:dyDescent="0.25">
      <c r="A13" s="11" t="s">
        <v>145</v>
      </c>
      <c r="B13" s="13">
        <v>3559</v>
      </c>
      <c r="C13" s="14">
        <f>(3022/B13*100)</f>
        <v>84.911491992132625</v>
      </c>
      <c r="D13" s="15">
        <v>537</v>
      </c>
      <c r="E13" s="14">
        <v>84.857127079999998</v>
      </c>
      <c r="F13" s="16">
        <v>2.0529289999999998</v>
      </c>
      <c r="G13" s="14">
        <v>5.4806507199999999</v>
      </c>
      <c r="H13" s="16">
        <v>1.18875123</v>
      </c>
      <c r="I13" s="14">
        <v>9.6622222000000004</v>
      </c>
      <c r="J13" s="16">
        <v>1.80930715</v>
      </c>
      <c r="K13" s="14" t="s">
        <v>139</v>
      </c>
      <c r="L13" s="16" t="s">
        <v>139</v>
      </c>
      <c r="M13" s="14">
        <v>0</v>
      </c>
      <c r="N13" s="16">
        <v>0</v>
      </c>
      <c r="O13" s="14">
        <v>0</v>
      </c>
      <c r="P13" s="16">
        <v>0</v>
      </c>
      <c r="Q13" s="14">
        <v>0</v>
      </c>
      <c r="R13" s="16">
        <v>0</v>
      </c>
      <c r="S13" s="14">
        <v>0</v>
      </c>
      <c r="T13" s="16">
        <v>0</v>
      </c>
    </row>
    <row r="14" spans="1:20" x14ac:dyDescent="0.25">
      <c r="A14" s="11" t="s">
        <v>146</v>
      </c>
      <c r="B14" s="13">
        <v>2799</v>
      </c>
      <c r="C14" s="14">
        <f>(2337/B14*100)</f>
        <v>83.494105037513407</v>
      </c>
      <c r="D14" s="15">
        <v>462</v>
      </c>
      <c r="E14" s="14">
        <v>74.876275860000007</v>
      </c>
      <c r="F14" s="16">
        <v>2.0493276499999999</v>
      </c>
      <c r="G14" s="14">
        <v>5.8620314499999999</v>
      </c>
      <c r="H14" s="16">
        <v>1.2988312399999999</v>
      </c>
      <c r="I14" s="14">
        <v>19.26169269</v>
      </c>
      <c r="J14" s="16">
        <v>1.9915292499999999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(2543/B15*100)</f>
        <v>84.233189797946338</v>
      </c>
      <c r="D15" s="15">
        <v>476</v>
      </c>
      <c r="E15" s="14">
        <v>74.340067980000001</v>
      </c>
      <c r="F15" s="16">
        <v>1.75414392</v>
      </c>
      <c r="G15" s="14">
        <v>6.7148575099999999</v>
      </c>
      <c r="H15" s="16">
        <v>1.1826768999999999</v>
      </c>
      <c r="I15" s="14">
        <v>18.945074510000001</v>
      </c>
      <c r="J15" s="16">
        <v>1.6641060299999999</v>
      </c>
      <c r="K15" s="14" t="s">
        <v>139</v>
      </c>
      <c r="L15" s="16" t="s">
        <v>139</v>
      </c>
      <c r="M15" s="14">
        <v>0</v>
      </c>
      <c r="N15" s="16">
        <v>0</v>
      </c>
      <c r="O15" s="14">
        <v>0</v>
      </c>
      <c r="P15" s="16">
        <v>0</v>
      </c>
      <c r="Q15" s="14">
        <v>0</v>
      </c>
      <c r="R15" s="16">
        <v>0</v>
      </c>
      <c r="S15" s="14">
        <v>0</v>
      </c>
      <c r="T15" s="16">
        <v>0</v>
      </c>
    </row>
    <row r="16" spans="1:20" x14ac:dyDescent="0.25">
      <c r="A16" s="11" t="s">
        <v>148</v>
      </c>
      <c r="B16" s="13">
        <v>2997</v>
      </c>
      <c r="C16" s="14">
        <f>(2536/B16*100)</f>
        <v>84.617951284617959</v>
      </c>
      <c r="D16" s="15">
        <v>461</v>
      </c>
      <c r="E16" s="14">
        <v>81.38005613</v>
      </c>
      <c r="F16" s="16">
        <v>1.75575726</v>
      </c>
      <c r="G16" s="14">
        <v>5.9140392899999998</v>
      </c>
      <c r="H16" s="16">
        <v>1.0737215600000001</v>
      </c>
      <c r="I16" s="14">
        <v>12.70590458</v>
      </c>
      <c r="J16" s="16">
        <v>1.4883329700000001</v>
      </c>
      <c r="K16" s="14" t="s">
        <v>139</v>
      </c>
      <c r="L16" s="16" t="s">
        <v>139</v>
      </c>
      <c r="M16" s="14">
        <v>0</v>
      </c>
      <c r="N16" s="16">
        <v>0</v>
      </c>
      <c r="O16" s="14">
        <v>0</v>
      </c>
      <c r="P16" s="16">
        <v>0</v>
      </c>
      <c r="Q16" s="14">
        <v>0</v>
      </c>
      <c r="R16" s="16">
        <v>0</v>
      </c>
      <c r="S16" s="14">
        <v>0</v>
      </c>
      <c r="T16" s="16">
        <v>0</v>
      </c>
    </row>
    <row r="17" spans="1:20" x14ac:dyDescent="0.25">
      <c r="A17" s="11" t="s">
        <v>149</v>
      </c>
      <c r="B17" s="13">
        <v>3307</v>
      </c>
      <c r="C17" s="14">
        <f>(2808/B17*100)</f>
        <v>84.910795282733602</v>
      </c>
      <c r="D17" s="15">
        <v>499</v>
      </c>
      <c r="E17" s="14">
        <v>76.734114099999999</v>
      </c>
      <c r="F17" s="16">
        <v>1.80343878</v>
      </c>
      <c r="G17" s="14">
        <v>7.2658562599999996</v>
      </c>
      <c r="H17" s="16">
        <v>1.2290447</v>
      </c>
      <c r="I17" s="14">
        <v>16.000029640000001</v>
      </c>
      <c r="J17" s="16">
        <v>1.57902531</v>
      </c>
      <c r="K17" s="14" t="s">
        <v>139</v>
      </c>
      <c r="L17" s="16" t="s">
        <v>139</v>
      </c>
      <c r="M17" s="14">
        <v>0</v>
      </c>
      <c r="N17" s="16">
        <v>0</v>
      </c>
      <c r="O17" s="14">
        <v>0</v>
      </c>
      <c r="P17" s="16">
        <v>0</v>
      </c>
      <c r="Q17" s="14">
        <v>0</v>
      </c>
      <c r="R17" s="16">
        <v>0</v>
      </c>
      <c r="S17" s="14">
        <v>0</v>
      </c>
      <c r="T17" s="16">
        <v>0</v>
      </c>
    </row>
    <row r="18" spans="1:20" x14ac:dyDescent="0.25">
      <c r="A18" s="11" t="s">
        <v>150</v>
      </c>
      <c r="B18" s="13">
        <v>2826</v>
      </c>
      <c r="C18" s="14">
        <f>(2351/B18*100)</f>
        <v>83.191790516631286</v>
      </c>
      <c r="D18" s="15">
        <v>475</v>
      </c>
      <c r="E18" s="14">
        <v>90.878182850000002</v>
      </c>
      <c r="F18" s="16">
        <v>1.53029689</v>
      </c>
      <c r="G18" s="14">
        <v>3.7548153399999999</v>
      </c>
      <c r="H18" s="16">
        <v>0.91036503999999996</v>
      </c>
      <c r="I18" s="14">
        <v>5.3670018099999997</v>
      </c>
      <c r="J18" s="16">
        <v>1.12965453</v>
      </c>
      <c r="K18" s="14" t="s">
        <v>139</v>
      </c>
      <c r="L18" s="16" t="s">
        <v>139</v>
      </c>
      <c r="M18" s="14">
        <v>0</v>
      </c>
      <c r="N18" s="16">
        <v>0</v>
      </c>
      <c r="O18" s="14">
        <v>0</v>
      </c>
      <c r="P18" s="16">
        <v>0</v>
      </c>
      <c r="Q18" s="14">
        <v>0</v>
      </c>
      <c r="R18" s="16">
        <v>0</v>
      </c>
      <c r="S18" s="14">
        <v>0</v>
      </c>
      <c r="T18" s="16">
        <v>0</v>
      </c>
    </row>
    <row r="19" spans="1:20" x14ac:dyDescent="0.25">
      <c r="A19" s="11" t="s">
        <v>151</v>
      </c>
      <c r="B19" s="13">
        <v>2808</v>
      </c>
      <c r="C19" s="14">
        <f>(2378/B19*100)</f>
        <v>84.686609686609685</v>
      </c>
      <c r="D19" s="15">
        <v>430</v>
      </c>
      <c r="E19" s="14">
        <v>86.711648929999996</v>
      </c>
      <c r="F19" s="16">
        <v>1.5891051899999999</v>
      </c>
      <c r="G19" s="14">
        <v>4.8435302499999997</v>
      </c>
      <c r="H19" s="16">
        <v>1.0317135099999999</v>
      </c>
      <c r="I19" s="14">
        <v>8.4448208200000003</v>
      </c>
      <c r="J19" s="16">
        <v>1.10992</v>
      </c>
      <c r="K19" s="14" t="s">
        <v>139</v>
      </c>
      <c r="L19" s="16" t="s">
        <v>139</v>
      </c>
      <c r="M19" s="14">
        <v>0</v>
      </c>
      <c r="N19" s="16">
        <v>0</v>
      </c>
      <c r="O19" s="14">
        <v>0</v>
      </c>
      <c r="P19" s="16">
        <v>0</v>
      </c>
      <c r="Q19" s="14">
        <v>0</v>
      </c>
      <c r="R19" s="16">
        <v>0</v>
      </c>
      <c r="S19" s="14">
        <v>0</v>
      </c>
      <c r="T19" s="16">
        <v>0</v>
      </c>
    </row>
    <row r="20" spans="1:20" x14ac:dyDescent="0.25">
      <c r="A20" s="11" t="s">
        <v>152</v>
      </c>
      <c r="B20" s="13">
        <v>1630</v>
      </c>
      <c r="C20" s="14">
        <f>(1371/B20*100)</f>
        <v>84.110429447852766</v>
      </c>
      <c r="D20" s="15">
        <v>259</v>
      </c>
      <c r="E20" s="14">
        <v>77.261543329999995</v>
      </c>
      <c r="F20" s="16">
        <v>2.7402139299999999</v>
      </c>
      <c r="G20" s="14">
        <v>6.1996210100000004</v>
      </c>
      <c r="H20" s="16">
        <v>1.4672562899999999</v>
      </c>
      <c r="I20" s="14">
        <v>16.53883566</v>
      </c>
      <c r="J20" s="16">
        <v>2.3977096200000001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(2483/B22*100)</f>
        <v>84.7151142954623</v>
      </c>
      <c r="D22" s="15">
        <v>448</v>
      </c>
      <c r="E22" s="14">
        <v>82.355417209999999</v>
      </c>
      <c r="F22" s="16">
        <v>1.7786011900000001</v>
      </c>
      <c r="G22" s="14">
        <v>3.65231906</v>
      </c>
      <c r="H22" s="16">
        <v>0.97023302</v>
      </c>
      <c r="I22" s="14">
        <v>13.992263729999999</v>
      </c>
      <c r="J22" s="16">
        <v>1.73034321</v>
      </c>
      <c r="K22" s="14" t="s">
        <v>139</v>
      </c>
      <c r="L22" s="16" t="s">
        <v>139</v>
      </c>
      <c r="M22" s="14">
        <v>0</v>
      </c>
      <c r="N22" s="16">
        <v>0</v>
      </c>
      <c r="O22" s="14">
        <v>0</v>
      </c>
      <c r="P22" s="16">
        <v>0</v>
      </c>
      <c r="Q22" s="14">
        <v>0</v>
      </c>
      <c r="R22" s="16">
        <v>0</v>
      </c>
      <c r="S22" s="14">
        <v>0</v>
      </c>
      <c r="T22" s="16">
        <v>0</v>
      </c>
    </row>
    <row r="23" spans="1:20" x14ac:dyDescent="0.25">
      <c r="A23" s="11" t="s">
        <v>156</v>
      </c>
      <c r="B23" s="13">
        <v>5791</v>
      </c>
      <c r="C23" s="14">
        <f>(4860/B23*100)</f>
        <v>83.923329304092547</v>
      </c>
      <c r="D23" s="15">
        <v>931</v>
      </c>
      <c r="E23" s="14">
        <v>82.328923990000007</v>
      </c>
      <c r="F23" s="16">
        <v>1.7574157500000001</v>
      </c>
      <c r="G23" s="14">
        <v>6.3726700200000002</v>
      </c>
      <c r="H23" s="16">
        <v>1.1684747900000001</v>
      </c>
      <c r="I23" s="14">
        <v>11.298405989999999</v>
      </c>
      <c r="J23" s="16">
        <v>1.37758435</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(2773/B24*100)</f>
        <v>83.073696824445776</v>
      </c>
      <c r="D24" s="15">
        <v>565</v>
      </c>
      <c r="E24" s="14">
        <v>74.617484680000004</v>
      </c>
      <c r="F24" s="16">
        <v>1.83707829</v>
      </c>
      <c r="G24" s="14">
        <v>6.8668270500000004</v>
      </c>
      <c r="H24" s="16">
        <v>1.21117396</v>
      </c>
      <c r="I24" s="14">
        <v>18.515688269999998</v>
      </c>
      <c r="J24" s="16">
        <v>1.40787022</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(2408/B25*100)</f>
        <v>82.692307692307693</v>
      </c>
      <c r="D25" s="15">
        <v>504</v>
      </c>
      <c r="E25" s="14">
        <v>74.068333100000004</v>
      </c>
      <c r="F25" s="16">
        <v>2.0344380499999999</v>
      </c>
      <c r="G25" s="14">
        <v>6.5161760400000004</v>
      </c>
      <c r="H25" s="16">
        <v>1.2411012800000001</v>
      </c>
      <c r="I25" s="14">
        <v>19.415490859999998</v>
      </c>
      <c r="J25" s="16">
        <v>1.89169571</v>
      </c>
      <c r="K25" s="14" t="s">
        <v>139</v>
      </c>
      <c r="L25" s="16" t="s">
        <v>139</v>
      </c>
      <c r="M25" s="14">
        <v>0</v>
      </c>
      <c r="N25" s="16">
        <v>0</v>
      </c>
      <c r="O25" s="14">
        <v>0</v>
      </c>
      <c r="P25" s="16">
        <v>0</v>
      </c>
      <c r="Q25" s="14">
        <v>0</v>
      </c>
      <c r="R25" s="16">
        <v>0</v>
      </c>
      <c r="S25" s="14">
        <v>0</v>
      </c>
      <c r="T25" s="16">
        <v>0</v>
      </c>
    </row>
    <row r="26" spans="1:20" x14ac:dyDescent="0.25">
      <c r="A26" s="11" t="s">
        <v>159</v>
      </c>
      <c r="B26" s="13">
        <v>2450</v>
      </c>
      <c r="C26" s="14">
        <f>(2029/B26*100)</f>
        <v>82.816326530612244</v>
      </c>
      <c r="D26" s="15">
        <v>421</v>
      </c>
      <c r="E26" s="14">
        <v>86.01278361</v>
      </c>
      <c r="F26" s="16">
        <v>1.65153529</v>
      </c>
      <c r="G26" s="14">
        <v>6.9147670300000001</v>
      </c>
      <c r="H26" s="16">
        <v>1.1999014400000001</v>
      </c>
      <c r="I26" s="14">
        <v>7.0724493600000002</v>
      </c>
      <c r="J26" s="16">
        <v>1.3400025499999999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(2205/B27*100)</f>
        <v>84.288990825688074</v>
      </c>
      <c r="D27" s="15">
        <v>411</v>
      </c>
      <c r="E27" s="14">
        <v>80.668585289999996</v>
      </c>
      <c r="F27" s="16">
        <v>1.8964938499999999</v>
      </c>
      <c r="G27" s="14">
        <v>5.3429244999999996</v>
      </c>
      <c r="H27" s="16">
        <v>1.2244090599999999</v>
      </c>
      <c r="I27" s="14">
        <v>13.98849021</v>
      </c>
      <c r="J27" s="16">
        <v>1.67291843</v>
      </c>
      <c r="K27" s="14" t="s">
        <v>139</v>
      </c>
      <c r="L27" s="16" t="s">
        <v>139</v>
      </c>
      <c r="M27" s="14">
        <v>0</v>
      </c>
      <c r="N27" s="16">
        <v>0</v>
      </c>
      <c r="O27" s="14">
        <v>0</v>
      </c>
      <c r="P27" s="16">
        <v>0</v>
      </c>
      <c r="Q27" s="14">
        <v>0</v>
      </c>
      <c r="R27" s="16">
        <v>0</v>
      </c>
      <c r="S27" s="14">
        <v>0</v>
      </c>
      <c r="T27" s="16">
        <v>0</v>
      </c>
    </row>
    <row r="28" spans="1:20" x14ac:dyDescent="0.25">
      <c r="A28" s="11" t="s">
        <v>161</v>
      </c>
      <c r="B28" s="13">
        <v>3765</v>
      </c>
      <c r="C28" s="14">
        <f>(3238/B28*100)</f>
        <v>86.002656042496682</v>
      </c>
      <c r="D28" s="15">
        <v>527</v>
      </c>
      <c r="E28" s="14">
        <v>93.202328820000005</v>
      </c>
      <c r="F28" s="16">
        <v>1.01705847</v>
      </c>
      <c r="G28" s="14">
        <v>3.7105637800000002</v>
      </c>
      <c r="H28" s="16">
        <v>0.91747504999999996</v>
      </c>
      <c r="I28" s="14">
        <v>3.0871073999999998</v>
      </c>
      <c r="J28" s="16">
        <v>0.79131001999999995</v>
      </c>
      <c r="K28" s="14" t="s">
        <v>139</v>
      </c>
      <c r="L28" s="16" t="s">
        <v>139</v>
      </c>
      <c r="M28" s="14">
        <v>0</v>
      </c>
      <c r="N28" s="16">
        <v>0</v>
      </c>
      <c r="O28" s="14">
        <v>0</v>
      </c>
      <c r="P28" s="16">
        <v>0</v>
      </c>
      <c r="Q28" s="14">
        <v>0</v>
      </c>
      <c r="R28" s="16">
        <v>0</v>
      </c>
      <c r="S28" s="14">
        <v>0</v>
      </c>
      <c r="T28" s="16">
        <v>0</v>
      </c>
    </row>
    <row r="29" spans="1:20" x14ac:dyDescent="0.25">
      <c r="A29" s="11" t="s">
        <v>162</v>
      </c>
      <c r="B29" s="13">
        <v>2685</v>
      </c>
      <c r="C29" s="14">
        <f>(2224/B29*100)</f>
        <v>82.830540037243949</v>
      </c>
      <c r="D29" s="15">
        <v>461</v>
      </c>
      <c r="E29" s="14">
        <v>91.448439530000002</v>
      </c>
      <c r="F29" s="16">
        <v>1.6518990499999999</v>
      </c>
      <c r="G29" s="14">
        <v>4.3233475200000004</v>
      </c>
      <c r="H29" s="16">
        <v>1.0242684799999999</v>
      </c>
      <c r="I29" s="14">
        <v>4.2282129499999996</v>
      </c>
      <c r="J29" s="16">
        <v>1.1372148900000001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(1892/B30*100)</f>
        <v>83.605832965090585</v>
      </c>
      <c r="D30" s="15">
        <v>371</v>
      </c>
      <c r="E30" s="14">
        <v>70.048961539999993</v>
      </c>
      <c r="F30" s="16">
        <v>2.4285597000000001</v>
      </c>
      <c r="G30" s="14">
        <v>7.5628377599999999</v>
      </c>
      <c r="H30" s="16">
        <v>1.4689482</v>
      </c>
      <c r="I30" s="14">
        <v>22.388200699999999</v>
      </c>
      <c r="J30" s="16">
        <v>1.98613901</v>
      </c>
      <c r="K30" s="14" t="s">
        <v>139</v>
      </c>
      <c r="L30" s="16" t="s">
        <v>139</v>
      </c>
      <c r="M30" s="14">
        <v>0</v>
      </c>
      <c r="N30" s="16">
        <v>0</v>
      </c>
      <c r="O30" s="14">
        <v>0</v>
      </c>
      <c r="P30" s="16">
        <v>0</v>
      </c>
      <c r="Q30" s="14">
        <v>0</v>
      </c>
      <c r="R30" s="16">
        <v>0</v>
      </c>
      <c r="S30" s="14">
        <v>0</v>
      </c>
      <c r="T30" s="16">
        <v>0</v>
      </c>
    </row>
    <row r="31" spans="1:20" x14ac:dyDescent="0.25">
      <c r="A31" s="11" t="s">
        <v>164</v>
      </c>
      <c r="B31" s="13">
        <v>2750</v>
      </c>
      <c r="C31" s="14">
        <f>(2330/B31*100)</f>
        <v>84.727272727272734</v>
      </c>
      <c r="D31" s="15">
        <v>420</v>
      </c>
      <c r="E31" s="14">
        <v>72.265538469999996</v>
      </c>
      <c r="F31" s="16">
        <v>2.3194687599999999</v>
      </c>
      <c r="G31" s="14">
        <v>8.2279816500000003</v>
      </c>
      <c r="H31" s="16">
        <v>1.2125079999999999</v>
      </c>
      <c r="I31" s="14">
        <v>19.506479880000001</v>
      </c>
      <c r="J31" s="16">
        <v>2.0808597199999999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(3141/B33*100)</f>
        <v>85.492651061513342</v>
      </c>
      <c r="D33" s="15">
        <v>533</v>
      </c>
      <c r="E33" s="14">
        <v>89.703445770000002</v>
      </c>
      <c r="F33" s="16">
        <v>1.4647535300000001</v>
      </c>
      <c r="G33" s="14">
        <v>4.9762680699999997</v>
      </c>
      <c r="H33" s="16">
        <v>0.92705409999999999</v>
      </c>
      <c r="I33" s="14">
        <v>5.3202861600000002</v>
      </c>
      <c r="J33" s="16">
        <v>1.2787222499999999</v>
      </c>
      <c r="K33" s="14" t="s">
        <v>139</v>
      </c>
      <c r="L33" s="16" t="s">
        <v>139</v>
      </c>
      <c r="M33" s="14">
        <v>0</v>
      </c>
      <c r="N33" s="16">
        <v>0</v>
      </c>
      <c r="O33" s="14">
        <v>0</v>
      </c>
      <c r="P33" s="16">
        <v>0</v>
      </c>
      <c r="Q33" s="14">
        <v>0</v>
      </c>
      <c r="R33" s="16">
        <v>0</v>
      </c>
      <c r="S33" s="14">
        <v>0</v>
      </c>
      <c r="T33" s="16">
        <v>0</v>
      </c>
    </row>
    <row r="34" spans="1:20" x14ac:dyDescent="0.25">
      <c r="A34" s="11" t="s">
        <v>167</v>
      </c>
      <c r="B34" s="13">
        <v>3315</v>
      </c>
      <c r="C34" s="14">
        <f>(2800/B34*100)</f>
        <v>84.464555052790345</v>
      </c>
      <c r="D34" s="15">
        <v>515</v>
      </c>
      <c r="E34" s="14">
        <v>87.514303889999994</v>
      </c>
      <c r="F34" s="16">
        <v>1.5284398299999999</v>
      </c>
      <c r="G34" s="14">
        <v>4.7234579999999999</v>
      </c>
      <c r="H34" s="16">
        <v>0.90640050999999999</v>
      </c>
      <c r="I34" s="14">
        <v>7.7622381000000003</v>
      </c>
      <c r="J34" s="16">
        <v>1.20669705</v>
      </c>
      <c r="K34" s="14" t="s">
        <v>139</v>
      </c>
      <c r="L34" s="16" t="s">
        <v>139</v>
      </c>
      <c r="M34" s="14">
        <v>0</v>
      </c>
      <c r="N34" s="16">
        <v>0</v>
      </c>
      <c r="O34" s="14">
        <v>0</v>
      </c>
      <c r="P34" s="16">
        <v>0</v>
      </c>
      <c r="Q34" s="14">
        <v>0</v>
      </c>
      <c r="R34" s="16">
        <v>0</v>
      </c>
      <c r="S34" s="14">
        <v>0</v>
      </c>
      <c r="T34" s="16">
        <v>0</v>
      </c>
    </row>
    <row r="35" spans="1:20" x14ac:dyDescent="0.25">
      <c r="A35" s="11" t="s">
        <v>168</v>
      </c>
      <c r="B35" s="13">
        <v>3505</v>
      </c>
      <c r="C35" s="14">
        <f>(2921/B35*100)</f>
        <v>83.338088445078455</v>
      </c>
      <c r="D35" s="15">
        <v>584</v>
      </c>
      <c r="E35" s="14">
        <v>82.436239790000002</v>
      </c>
      <c r="F35" s="16">
        <v>2.1268401300000002</v>
      </c>
      <c r="G35" s="14">
        <v>4.58616125</v>
      </c>
      <c r="H35" s="16">
        <v>1.1391293300000001</v>
      </c>
      <c r="I35" s="14">
        <v>12.97759896</v>
      </c>
      <c r="J35" s="16">
        <v>1.8439033600000001</v>
      </c>
      <c r="K35" s="14" t="s">
        <v>139</v>
      </c>
      <c r="L35" s="16" t="s">
        <v>139</v>
      </c>
      <c r="M35" s="14">
        <v>0</v>
      </c>
      <c r="N35" s="16">
        <v>0</v>
      </c>
      <c r="O35" s="14">
        <v>0</v>
      </c>
      <c r="P35" s="16">
        <v>0</v>
      </c>
      <c r="Q35" s="14">
        <v>0</v>
      </c>
      <c r="R35" s="16">
        <v>0</v>
      </c>
      <c r="S35" s="14">
        <v>0</v>
      </c>
      <c r="T35" s="16">
        <v>0</v>
      </c>
    </row>
    <row r="36" spans="1:20" x14ac:dyDescent="0.25">
      <c r="A36" s="11" t="s">
        <v>169</v>
      </c>
      <c r="B36" s="13">
        <v>3332</v>
      </c>
      <c r="C36" s="14">
        <f>(2824/B36*100)</f>
        <v>84.753901560624243</v>
      </c>
      <c r="D36" s="15">
        <v>508</v>
      </c>
      <c r="E36" s="14">
        <v>83.738435640000006</v>
      </c>
      <c r="F36" s="16">
        <v>1.5986921599999999</v>
      </c>
      <c r="G36" s="14">
        <v>6.3013733600000004</v>
      </c>
      <c r="H36" s="16">
        <v>1.11948797</v>
      </c>
      <c r="I36" s="14">
        <v>9.960191</v>
      </c>
      <c r="J36" s="16">
        <v>1.29248114</v>
      </c>
      <c r="K36" s="14" t="s">
        <v>139</v>
      </c>
      <c r="L36" s="16" t="s">
        <v>139</v>
      </c>
      <c r="M36" s="14">
        <v>0</v>
      </c>
      <c r="N36" s="16">
        <v>0</v>
      </c>
      <c r="O36" s="14">
        <v>0</v>
      </c>
      <c r="P36" s="16">
        <v>0</v>
      </c>
      <c r="Q36" s="14">
        <v>0</v>
      </c>
      <c r="R36" s="16">
        <v>0</v>
      </c>
      <c r="S36" s="14">
        <v>0</v>
      </c>
      <c r="T36" s="16">
        <v>0</v>
      </c>
    </row>
    <row r="37" spans="1:20" x14ac:dyDescent="0.25">
      <c r="A37" s="11" t="s">
        <v>170</v>
      </c>
      <c r="B37" s="13">
        <v>2727</v>
      </c>
      <c r="C37" s="14">
        <f>(2308/B37*100)</f>
        <v>84.635130179684637</v>
      </c>
      <c r="D37" s="15">
        <v>419</v>
      </c>
      <c r="E37" s="14">
        <v>77.443177789999993</v>
      </c>
      <c r="F37" s="16">
        <v>2.37458839</v>
      </c>
      <c r="G37" s="14">
        <v>7.9716844299999998</v>
      </c>
      <c r="H37" s="16">
        <v>1.2696751399999999</v>
      </c>
      <c r="I37" s="14">
        <v>14.58513778</v>
      </c>
      <c r="J37" s="16">
        <v>1.8733652599999999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(2462/B39*100)</f>
        <v>83.260060872505917</v>
      </c>
      <c r="D39" s="15">
        <v>495</v>
      </c>
      <c r="E39" s="14">
        <v>97.254382989999996</v>
      </c>
      <c r="F39" s="16">
        <v>0.82129711999999999</v>
      </c>
      <c r="G39" s="14">
        <v>2.5297965800000002</v>
      </c>
      <c r="H39" s="16">
        <v>0.77959179999999995</v>
      </c>
      <c r="I39" s="14">
        <v>0.21582043000000001</v>
      </c>
      <c r="J39" s="16">
        <v>0.21949358999999999</v>
      </c>
      <c r="K39" s="14" t="s">
        <v>139</v>
      </c>
      <c r="L39" s="16" t="s">
        <v>139</v>
      </c>
      <c r="M39" s="14">
        <v>0</v>
      </c>
      <c r="N39" s="16">
        <v>0</v>
      </c>
      <c r="O39" s="14">
        <v>0</v>
      </c>
      <c r="P39" s="16">
        <v>0</v>
      </c>
      <c r="Q39" s="14">
        <v>0</v>
      </c>
      <c r="R39" s="16">
        <v>0</v>
      </c>
      <c r="S39" s="14">
        <v>0</v>
      </c>
      <c r="T39" s="16">
        <v>0</v>
      </c>
    </row>
    <row r="40" spans="1:20" x14ac:dyDescent="0.25">
      <c r="A40" s="11" t="s">
        <v>173</v>
      </c>
      <c r="B40" s="13">
        <v>7235</v>
      </c>
      <c r="C40" s="14">
        <f>(6005/B40*100)</f>
        <v>82.999308914996533</v>
      </c>
      <c r="D40" s="15">
        <v>1230</v>
      </c>
      <c r="E40" s="14">
        <v>76.807324019999996</v>
      </c>
      <c r="F40" s="16">
        <v>1.9086788299999999</v>
      </c>
      <c r="G40" s="14">
        <v>7.1469397399999997</v>
      </c>
      <c r="H40" s="16">
        <v>1.14301148</v>
      </c>
      <c r="I40" s="14">
        <v>16.04573624</v>
      </c>
      <c r="J40" s="16">
        <v>1.69472731</v>
      </c>
      <c r="K40" s="14" t="s">
        <v>139</v>
      </c>
      <c r="L40" s="16" t="s">
        <v>139</v>
      </c>
      <c r="M40" s="14">
        <v>0</v>
      </c>
      <c r="N40" s="16">
        <v>0</v>
      </c>
      <c r="O40" s="14">
        <v>0</v>
      </c>
      <c r="P40" s="16">
        <v>0</v>
      </c>
      <c r="Q40" s="14">
        <v>0</v>
      </c>
      <c r="R40" s="16">
        <v>0</v>
      </c>
      <c r="S40" s="14">
        <v>0</v>
      </c>
      <c r="T40" s="16">
        <v>0</v>
      </c>
    </row>
    <row r="41" spans="1:20" x14ac:dyDescent="0.25">
      <c r="A41" s="11" t="s">
        <v>174</v>
      </c>
      <c r="B41" s="13">
        <v>2858</v>
      </c>
      <c r="C41" s="14">
        <f>(2427/B41*100)</f>
        <v>84.919524142757169</v>
      </c>
      <c r="D41" s="15">
        <v>431</v>
      </c>
      <c r="E41" s="14">
        <v>73.931816479999995</v>
      </c>
      <c r="F41" s="16">
        <v>1.9358546999999999</v>
      </c>
      <c r="G41" s="14">
        <v>5.5316330699999998</v>
      </c>
      <c r="H41" s="16">
        <v>1.0523758400000001</v>
      </c>
      <c r="I41" s="14">
        <v>20.536550460000001</v>
      </c>
      <c r="J41" s="16">
        <v>1.9026966700000001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84.15257624852714</v>
      </c>
      <c r="D42" s="15">
        <f>IF(COUNT(D7:D41) &gt; 0, AVERAGE(D7:D41), "—")</f>
        <v>579.65625</v>
      </c>
      <c r="E42" s="14">
        <f>IF(COUNT(E7:E41) &gt; 0, AVERAGE(E7:E41), "—")</f>
        <v>81.363999298749988</v>
      </c>
      <c r="F42" s="16">
        <f>IF(COUNT(F7:F41) &gt; 0, SQRT(SUMSQ(F7:F41)/(COUNT(F7:F41)*COUNT(F7:F41)) ), "—")</f>
        <v>0.31969399061083248</v>
      </c>
      <c r="G42" s="14">
        <f>IF(COUNT(G7:G41) &gt; 0, AVERAGE(G7:G41), "—")</f>
        <v>5.9176586553125015</v>
      </c>
      <c r="H42" s="16">
        <f>IF(COUNT(H7:H41) &gt; 0, SQRT(SUMSQ(H7:H41)/(COUNT(H7:H41)*COUNT(H7:H41)) ), "—")</f>
        <v>0.19685381269209243</v>
      </c>
      <c r="I42" s="14">
        <f>IF(COUNT(I7:I41) &gt; 0, AVERAGE(I7:I41), "—")</f>
        <v>12.718342046250001</v>
      </c>
      <c r="J42" s="16">
        <f>IF(COUNT(J7:J41) &gt; 0, SQRT(SUMSQ(J7:J41)/(COUNT(J7:J41)*COUNT(J7:J41)) ), "—")</f>
        <v>0.27294041689853188</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(9935/B46*100)</f>
        <v>89.763281532345502</v>
      </c>
      <c r="D46" s="15">
        <v>1133</v>
      </c>
      <c r="E46" s="14">
        <v>93.284508259999996</v>
      </c>
      <c r="F46" s="16">
        <v>0.85559439999999998</v>
      </c>
      <c r="G46" s="14">
        <v>4.4298822099999997</v>
      </c>
      <c r="H46" s="16">
        <v>0.76135178000000003</v>
      </c>
      <c r="I46" s="14">
        <v>2.2856095299999999</v>
      </c>
      <c r="J46" s="16">
        <v>0.55658295999999996</v>
      </c>
      <c r="K46" s="14" t="s">
        <v>139</v>
      </c>
      <c r="L46" s="16" t="s">
        <v>139</v>
      </c>
      <c r="M46" s="14">
        <v>0</v>
      </c>
      <c r="N46" s="16">
        <v>0</v>
      </c>
      <c r="O46" s="14">
        <v>0</v>
      </c>
      <c r="P46" s="16">
        <v>0</v>
      </c>
      <c r="Q46" s="14">
        <v>0</v>
      </c>
      <c r="R46" s="16">
        <v>0</v>
      </c>
      <c r="S46" s="14">
        <v>0</v>
      </c>
      <c r="T46" s="16">
        <v>0</v>
      </c>
    </row>
    <row r="47" spans="1:20" x14ac:dyDescent="0.25">
      <c r="A47" s="11" t="s">
        <v>180</v>
      </c>
      <c r="B47" s="13">
        <v>3105</v>
      </c>
      <c r="C47" s="14">
        <f>(2637/B47*100)</f>
        <v>84.927536231884062</v>
      </c>
      <c r="D47" s="15">
        <v>468</v>
      </c>
      <c r="E47" s="14">
        <v>91.984825099999995</v>
      </c>
      <c r="F47" s="16">
        <v>1.2725308900000001</v>
      </c>
      <c r="G47" s="14">
        <v>3.16666209</v>
      </c>
      <c r="H47" s="16">
        <v>0.69218444999999995</v>
      </c>
      <c r="I47" s="14">
        <v>4.8485128</v>
      </c>
      <c r="J47" s="16">
        <v>1.08496283</v>
      </c>
      <c r="K47" s="14" t="s">
        <v>139</v>
      </c>
      <c r="L47" s="16" t="s">
        <v>139</v>
      </c>
      <c r="M47" s="14">
        <v>0</v>
      </c>
      <c r="N47" s="16">
        <v>0</v>
      </c>
      <c r="O47" s="14">
        <v>0</v>
      </c>
      <c r="P47" s="16">
        <v>0</v>
      </c>
      <c r="Q47" s="14">
        <v>0</v>
      </c>
      <c r="R47" s="16">
        <v>0</v>
      </c>
      <c r="S47" s="14">
        <v>0</v>
      </c>
      <c r="T47" s="16">
        <v>0</v>
      </c>
    </row>
    <row r="48" spans="1:20" x14ac:dyDescent="0.25">
      <c r="A48" s="11" t="s">
        <v>181</v>
      </c>
      <c r="B48" s="13">
        <v>5159</v>
      </c>
      <c r="C48" s="14">
        <f>(4309/B48*100)</f>
        <v>83.523938747819344</v>
      </c>
      <c r="D48" s="15">
        <v>850</v>
      </c>
      <c r="E48" s="14">
        <v>79.679696519999993</v>
      </c>
      <c r="F48" s="16">
        <v>2.1005751699999999</v>
      </c>
      <c r="G48" s="14">
        <v>7.9734935</v>
      </c>
      <c r="H48" s="16">
        <v>1.12469018</v>
      </c>
      <c r="I48" s="14">
        <v>12.34680998</v>
      </c>
      <c r="J48" s="16">
        <v>1.7340275000000001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(4803/B50*100)</f>
        <v>85.20489622139435</v>
      </c>
      <c r="D50" s="15">
        <v>834</v>
      </c>
      <c r="E50" s="14">
        <v>95.283734809999999</v>
      </c>
      <c r="F50" s="16">
        <v>0.84217533</v>
      </c>
      <c r="G50" s="14">
        <v>2.59859858</v>
      </c>
      <c r="H50" s="16">
        <v>0.63448859999999996</v>
      </c>
      <c r="I50" s="14">
        <v>2.1176666200000001</v>
      </c>
      <c r="J50" s="16">
        <v>0.62261834999999999</v>
      </c>
      <c r="K50" s="14" t="s">
        <v>139</v>
      </c>
      <c r="L50" s="16" t="s">
        <v>139</v>
      </c>
      <c r="M50" s="14">
        <v>0</v>
      </c>
      <c r="N50" s="16">
        <v>0</v>
      </c>
      <c r="O50" s="14">
        <v>0</v>
      </c>
      <c r="P50" s="16">
        <v>0</v>
      </c>
      <c r="Q50" s="14">
        <v>0</v>
      </c>
      <c r="R50" s="16">
        <v>0</v>
      </c>
      <c r="S50" s="14">
        <v>0</v>
      </c>
      <c r="T50" s="16">
        <v>0</v>
      </c>
    </row>
    <row r="51" spans="1:20" x14ac:dyDescent="0.25">
      <c r="A51" s="11" t="s">
        <v>184</v>
      </c>
      <c r="B51" s="13">
        <v>3372</v>
      </c>
      <c r="C51" s="14">
        <f>(2957/B51*100)</f>
        <v>87.692763938315537</v>
      </c>
      <c r="D51" s="15">
        <v>415</v>
      </c>
      <c r="E51" s="14">
        <v>91.087907619999996</v>
      </c>
      <c r="F51" s="16">
        <v>1.38503709</v>
      </c>
      <c r="G51" s="14">
        <v>5.0414991999999996</v>
      </c>
      <c r="H51" s="16">
        <v>1.06817351</v>
      </c>
      <c r="I51" s="14">
        <v>3.8705931900000001</v>
      </c>
      <c r="J51" s="16">
        <v>0.98727545000000005</v>
      </c>
      <c r="K51" s="14" t="s">
        <v>139</v>
      </c>
      <c r="L51" s="16" t="s">
        <v>139</v>
      </c>
      <c r="M51" s="14">
        <v>0</v>
      </c>
      <c r="N51" s="16">
        <v>0</v>
      </c>
      <c r="O51" s="14">
        <v>0</v>
      </c>
      <c r="P51" s="16">
        <v>0</v>
      </c>
      <c r="Q51" s="14">
        <v>0</v>
      </c>
      <c r="R51" s="16">
        <v>0</v>
      </c>
      <c r="S51" s="14">
        <v>0</v>
      </c>
      <c r="T51" s="16">
        <v>0</v>
      </c>
    </row>
    <row r="52" spans="1:20" x14ac:dyDescent="0.25">
      <c r="A52" s="11" t="s">
        <v>185</v>
      </c>
      <c r="B52" s="13">
        <v>2796</v>
      </c>
      <c r="C52" s="14">
        <f>(2327/B52*100)</f>
        <v>83.22603719599428</v>
      </c>
      <c r="D52" s="15">
        <v>469</v>
      </c>
      <c r="E52" s="14">
        <v>87.416543369999999</v>
      </c>
      <c r="F52" s="16">
        <v>1.8941672300000001</v>
      </c>
      <c r="G52" s="14">
        <v>2.80964905</v>
      </c>
      <c r="H52" s="16">
        <v>0.89048656000000004</v>
      </c>
      <c r="I52" s="14">
        <v>9.7738075799999997</v>
      </c>
      <c r="J52" s="16">
        <v>1.6151983700000001</v>
      </c>
      <c r="K52" s="14" t="s">
        <v>139</v>
      </c>
      <c r="L52" s="16" t="s">
        <v>139</v>
      </c>
      <c r="M52" s="14">
        <v>0</v>
      </c>
      <c r="N52" s="16">
        <v>0</v>
      </c>
      <c r="O52" s="14">
        <v>0</v>
      </c>
      <c r="P52" s="16">
        <v>0</v>
      </c>
      <c r="Q52" s="14">
        <v>0</v>
      </c>
      <c r="R52" s="16">
        <v>0</v>
      </c>
      <c r="S52" s="14">
        <v>0</v>
      </c>
      <c r="T52" s="16">
        <v>0</v>
      </c>
    </row>
    <row r="53" spans="1:20" x14ac:dyDescent="0.25">
      <c r="A53" s="11" t="s">
        <v>186</v>
      </c>
      <c r="B53" s="13">
        <v>2811</v>
      </c>
      <c r="C53" s="14">
        <f>(2365/B53*100)</f>
        <v>84.133760227676973</v>
      </c>
      <c r="D53" s="15">
        <v>446</v>
      </c>
      <c r="E53" s="14">
        <v>92.132966920000001</v>
      </c>
      <c r="F53" s="16">
        <v>1.41056801</v>
      </c>
      <c r="G53" s="14">
        <v>3.74326537</v>
      </c>
      <c r="H53" s="16">
        <v>0.93412413000000005</v>
      </c>
      <c r="I53" s="14">
        <v>4.1237677100000001</v>
      </c>
      <c r="J53" s="16">
        <v>1.0207308500000001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(2246/B56*100)</f>
        <v>83.681073025335323</v>
      </c>
      <c r="D56" s="15">
        <v>438</v>
      </c>
      <c r="E56" s="14">
        <v>78.01617238</v>
      </c>
      <c r="F56" s="16">
        <v>2.4952419699999999</v>
      </c>
      <c r="G56" s="14">
        <v>6.5308302899999999</v>
      </c>
      <c r="H56" s="16">
        <v>1.1457403900000001</v>
      </c>
      <c r="I56" s="14">
        <v>15.45299734</v>
      </c>
      <c r="J56" s="16">
        <v>2.187665</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(2779/B61*100)</f>
        <v>83.604091456077015</v>
      </c>
      <c r="D61" s="15">
        <v>545</v>
      </c>
      <c r="E61" s="14">
        <v>79.120161940000003</v>
      </c>
      <c r="F61" s="16">
        <v>1.7375245699999999</v>
      </c>
      <c r="G61" s="14">
        <v>7.5202405099999998</v>
      </c>
      <c r="H61" s="16">
        <v>1.38218156</v>
      </c>
      <c r="I61" s="14">
        <v>13.35959755</v>
      </c>
      <c r="J61" s="16">
        <v>1.55794813</v>
      </c>
      <c r="K61" s="14" t="s">
        <v>139</v>
      </c>
      <c r="L61" s="16" t="s">
        <v>139</v>
      </c>
      <c r="M61" s="14">
        <v>0</v>
      </c>
      <c r="N61" s="16">
        <v>0</v>
      </c>
      <c r="O61" s="14">
        <v>0</v>
      </c>
      <c r="P61" s="16">
        <v>0</v>
      </c>
      <c r="Q61" s="14">
        <v>0</v>
      </c>
      <c r="R61" s="16">
        <v>0</v>
      </c>
      <c r="S61" s="14">
        <v>0</v>
      </c>
      <c r="T61" s="16">
        <v>0</v>
      </c>
    </row>
    <row r="62" spans="1:20" x14ac:dyDescent="0.25">
      <c r="A62" s="11" t="s">
        <v>195</v>
      </c>
      <c r="B62" s="13">
        <v>2246</v>
      </c>
      <c r="C62" s="14">
        <f>(1876/B62*100)</f>
        <v>83.526268922528942</v>
      </c>
      <c r="D62" s="15">
        <v>370</v>
      </c>
      <c r="E62" s="14">
        <v>78.953354300000001</v>
      </c>
      <c r="F62" s="16">
        <v>2.0708951</v>
      </c>
      <c r="G62" s="14">
        <v>5.1434585999999998</v>
      </c>
      <c r="H62" s="16">
        <v>1.2051765999999999</v>
      </c>
      <c r="I62" s="14">
        <v>15.9031871</v>
      </c>
      <c r="J62" s="16">
        <v>1.99229083</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(2438/B66*100)</f>
        <v>84.243261921216302</v>
      </c>
      <c r="D66" s="15">
        <v>456</v>
      </c>
      <c r="E66" s="14">
        <v>93.236313100000004</v>
      </c>
      <c r="F66" s="16">
        <v>1.20900593</v>
      </c>
      <c r="G66" s="14">
        <v>1.93570636</v>
      </c>
      <c r="H66" s="16">
        <v>0.55246952000000005</v>
      </c>
      <c r="I66" s="14">
        <v>4.8279805400000004</v>
      </c>
      <c r="J66" s="16">
        <v>1.1525777699999999</v>
      </c>
      <c r="K66" s="14" t="s">
        <v>139</v>
      </c>
      <c r="L66" s="16" t="s">
        <v>139</v>
      </c>
      <c r="M66" s="14">
        <v>0</v>
      </c>
      <c r="N66" s="16">
        <v>0</v>
      </c>
      <c r="O66" s="14">
        <v>0</v>
      </c>
      <c r="P66" s="16">
        <v>0</v>
      </c>
      <c r="Q66" s="14">
        <v>0</v>
      </c>
      <c r="R66" s="16">
        <v>0</v>
      </c>
      <c r="S66" s="14">
        <v>0</v>
      </c>
      <c r="T66" s="16">
        <v>0</v>
      </c>
    </row>
    <row r="67" spans="1:20" x14ac:dyDescent="0.25">
      <c r="A67" s="11" t="s">
        <v>200</v>
      </c>
      <c r="B67" s="13">
        <v>3511</v>
      </c>
      <c r="C67" s="14">
        <f>(3105/B67*100)</f>
        <v>88.436342922244364</v>
      </c>
      <c r="D67" s="15">
        <v>406</v>
      </c>
      <c r="E67" s="14">
        <v>92.162242570000004</v>
      </c>
      <c r="F67" s="16">
        <v>1.48095819</v>
      </c>
      <c r="G67" s="14">
        <v>2.8138206600000002</v>
      </c>
      <c r="H67" s="16">
        <v>0.70516288000000005</v>
      </c>
      <c r="I67" s="14">
        <v>5.0239367699999997</v>
      </c>
      <c r="J67" s="16">
        <v>1.2794289599999999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(2477/B70*100)</f>
        <v>84.568111983612155</v>
      </c>
      <c r="D70" s="15">
        <v>452</v>
      </c>
      <c r="E70" s="14">
        <v>80.584140309999995</v>
      </c>
      <c r="F70" s="16">
        <v>1.6889973899999999</v>
      </c>
      <c r="G70" s="14">
        <v>7.3232573600000004</v>
      </c>
      <c r="H70" s="16">
        <v>1.49540517</v>
      </c>
      <c r="I70" s="14">
        <v>12.09260233</v>
      </c>
      <c r="J70" s="16">
        <v>1.58709583</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(3234/B72*100)</f>
        <v>83.157624067883773</v>
      </c>
      <c r="D72" s="15">
        <v>655</v>
      </c>
      <c r="E72" s="14">
        <v>81.349543269999998</v>
      </c>
      <c r="F72" s="16">
        <v>1.4785797700000001</v>
      </c>
      <c r="G72" s="14">
        <v>7.0703142699999999</v>
      </c>
      <c r="H72" s="16">
        <v>1.0930013700000001</v>
      </c>
      <c r="I72" s="14">
        <v>11.580142459999999</v>
      </c>
      <c r="J72" s="16">
        <v>1.4196037699999999</v>
      </c>
      <c r="K72" s="14" t="s">
        <v>139</v>
      </c>
      <c r="L72" s="16" t="s">
        <v>139</v>
      </c>
      <c r="M72" s="14">
        <v>0</v>
      </c>
      <c r="N72" s="16">
        <v>0</v>
      </c>
      <c r="O72" s="14">
        <v>0</v>
      </c>
      <c r="P72" s="16">
        <v>0</v>
      </c>
      <c r="Q72" s="14">
        <v>0</v>
      </c>
      <c r="R72" s="16">
        <v>0</v>
      </c>
      <c r="S72" s="14">
        <v>0</v>
      </c>
      <c r="T72" s="16">
        <v>0</v>
      </c>
    </row>
    <row r="73" spans="1:20" x14ac:dyDescent="0.25">
      <c r="A73" s="11" t="s">
        <v>206</v>
      </c>
      <c r="B73" s="13">
        <v>3597</v>
      </c>
      <c r="C73" s="14">
        <f>(3070/B73*100)</f>
        <v>85.348901862663325</v>
      </c>
      <c r="D73" s="15">
        <v>527</v>
      </c>
      <c r="E73" s="14">
        <v>91.352214889999999</v>
      </c>
      <c r="F73" s="16">
        <v>1.4604993100000001</v>
      </c>
      <c r="G73" s="14">
        <v>2.0968968600000002</v>
      </c>
      <c r="H73" s="16">
        <v>0.67327026999999995</v>
      </c>
      <c r="I73" s="14">
        <v>6.5508882499999999</v>
      </c>
      <c r="J73" s="16">
        <v>1.3023889200000001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(2056/B75*100)</f>
        <v>85.453034081463002</v>
      </c>
      <c r="D75" s="15">
        <v>350</v>
      </c>
      <c r="E75" s="14">
        <v>96.425905090000001</v>
      </c>
      <c r="F75" s="16">
        <v>0.97746418999999996</v>
      </c>
      <c r="G75" s="14">
        <v>1.83325296</v>
      </c>
      <c r="H75" s="16">
        <v>0.72298055000000006</v>
      </c>
      <c r="I75" s="14">
        <v>1.7408419500000001</v>
      </c>
      <c r="J75" s="16">
        <v>0.64241528000000003</v>
      </c>
      <c r="K75" s="14" t="s">
        <v>139</v>
      </c>
      <c r="L75" s="16" t="s">
        <v>139</v>
      </c>
      <c r="M75" s="14">
        <v>0</v>
      </c>
      <c r="N75" s="16">
        <v>0</v>
      </c>
      <c r="O75" s="14">
        <v>0</v>
      </c>
      <c r="P75" s="16">
        <v>0</v>
      </c>
      <c r="Q75" s="14">
        <v>0</v>
      </c>
      <c r="R75" s="16">
        <v>0</v>
      </c>
      <c r="S75" s="14">
        <v>0</v>
      </c>
      <c r="T75" s="16">
        <v>0</v>
      </c>
    </row>
    <row r="76" spans="1:20" x14ac:dyDescent="0.25">
      <c r="A76" s="11" t="s">
        <v>209</v>
      </c>
      <c r="B76" s="13">
        <v>7052</v>
      </c>
      <c r="C76" s="14">
        <f>(5892/B76*100)</f>
        <v>83.550765740215539</v>
      </c>
      <c r="D76" s="15">
        <v>1160</v>
      </c>
      <c r="E76" s="14">
        <v>89.326880790000004</v>
      </c>
      <c r="F76" s="16">
        <v>1.33678644</v>
      </c>
      <c r="G76" s="14">
        <v>3.7043582599999998</v>
      </c>
      <c r="H76" s="16">
        <v>0.70254170000000005</v>
      </c>
      <c r="I76" s="14">
        <v>6.96876096</v>
      </c>
      <c r="J76" s="16">
        <v>1.3457890699999999</v>
      </c>
      <c r="K76" s="14" t="s">
        <v>139</v>
      </c>
      <c r="L76" s="16" t="s">
        <v>139</v>
      </c>
      <c r="M76" s="14">
        <v>0</v>
      </c>
      <c r="N76" s="16">
        <v>0</v>
      </c>
      <c r="O76" s="14">
        <v>0</v>
      </c>
      <c r="P76" s="16">
        <v>0</v>
      </c>
      <c r="Q76" s="14">
        <v>0</v>
      </c>
      <c r="R76" s="16">
        <v>0</v>
      </c>
      <c r="S76" s="14">
        <v>0</v>
      </c>
      <c r="T76" s="16">
        <v>0</v>
      </c>
    </row>
    <row r="77" spans="1:20" x14ac:dyDescent="0.25">
      <c r="A77" s="11" t="s">
        <v>210</v>
      </c>
      <c r="B77" s="13">
        <v>2908</v>
      </c>
      <c r="C77" s="14">
        <f>(2472/B77*100)</f>
        <v>85.006877579092162</v>
      </c>
      <c r="D77" s="15">
        <v>436</v>
      </c>
      <c r="E77" s="14">
        <v>92.646463409999996</v>
      </c>
      <c r="F77" s="16">
        <v>1.24478763</v>
      </c>
      <c r="G77" s="14">
        <v>4.7172641000000004</v>
      </c>
      <c r="H77" s="16">
        <v>1.0123329700000001</v>
      </c>
      <c r="I77" s="14">
        <v>2.6362725</v>
      </c>
      <c r="J77" s="16">
        <v>0.77725555000000002</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(3460/B81*100)</f>
        <v>83.113139562815277</v>
      </c>
      <c r="D81" s="15">
        <v>703</v>
      </c>
      <c r="E81" s="14">
        <v>90.65675109</v>
      </c>
      <c r="F81" s="16">
        <v>1.39844488</v>
      </c>
      <c r="G81" s="14">
        <v>3.26090568</v>
      </c>
      <c r="H81" s="16">
        <v>0.78690278999999996</v>
      </c>
      <c r="I81" s="14">
        <v>6.0823432300000002</v>
      </c>
      <c r="J81" s="16">
        <v>1.0309058900000001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(6121/B7*100)</f>
        <v>83.086738156644486</v>
      </c>
      <c r="D7" s="15">
        <v>1246</v>
      </c>
      <c r="E7" s="14">
        <v>46.725149170000002</v>
      </c>
      <c r="F7" s="16">
        <v>1.63106525</v>
      </c>
      <c r="G7" s="14">
        <v>53.274850829999998</v>
      </c>
      <c r="H7" s="16">
        <v>1.63106525</v>
      </c>
      <c r="I7" s="14" t="s">
        <v>139</v>
      </c>
      <c r="J7" s="16" t="s">
        <v>139</v>
      </c>
      <c r="K7" s="14">
        <v>0</v>
      </c>
      <c r="L7" s="16">
        <v>0</v>
      </c>
      <c r="M7" s="14">
        <v>0</v>
      </c>
      <c r="N7" s="16">
        <v>0</v>
      </c>
      <c r="O7" s="14">
        <v>0</v>
      </c>
      <c r="P7" s="16">
        <v>0</v>
      </c>
      <c r="Q7" s="14">
        <v>0</v>
      </c>
      <c r="R7" s="16">
        <v>0</v>
      </c>
    </row>
    <row r="8" spans="1:18" x14ac:dyDescent="0.25">
      <c r="A8" s="11" t="s">
        <v>140</v>
      </c>
      <c r="B8" s="13">
        <v>3564</v>
      </c>
      <c r="C8" s="14">
        <f>(2946/B8*100)</f>
        <v>82.65993265993265</v>
      </c>
      <c r="D8" s="15">
        <v>618</v>
      </c>
      <c r="E8" s="14">
        <v>57.755259070000001</v>
      </c>
      <c r="F8" s="16">
        <v>1.9560518600000001</v>
      </c>
      <c r="G8" s="14">
        <v>42.244740929999999</v>
      </c>
      <c r="H8" s="16">
        <v>1.9560518600000001</v>
      </c>
      <c r="I8" s="14" t="s">
        <v>139</v>
      </c>
      <c r="J8" s="16" t="s">
        <v>139</v>
      </c>
      <c r="K8" s="14">
        <v>0</v>
      </c>
      <c r="L8" s="16">
        <v>0</v>
      </c>
      <c r="M8" s="14">
        <v>0</v>
      </c>
      <c r="N8" s="16">
        <v>0</v>
      </c>
      <c r="O8" s="14">
        <v>0</v>
      </c>
      <c r="P8" s="16">
        <v>0</v>
      </c>
      <c r="Q8" s="14">
        <v>0</v>
      </c>
      <c r="R8" s="16">
        <v>0</v>
      </c>
    </row>
    <row r="9" spans="1:18" x14ac:dyDescent="0.25">
      <c r="A9" s="11" t="s">
        <v>141</v>
      </c>
      <c r="B9" s="13">
        <v>4899</v>
      </c>
      <c r="C9" s="14">
        <f>(4089/B9*100)</f>
        <v>83.466013472137163</v>
      </c>
      <c r="D9" s="15">
        <v>810</v>
      </c>
      <c r="E9" s="14">
        <v>59.717927850000002</v>
      </c>
      <c r="F9" s="16">
        <v>1.6992887400000001</v>
      </c>
      <c r="G9" s="14">
        <v>40.282072149999998</v>
      </c>
      <c r="H9" s="16">
        <v>1.6992887400000001</v>
      </c>
      <c r="I9" s="14" t="s">
        <v>139</v>
      </c>
      <c r="J9" s="16" t="s">
        <v>139</v>
      </c>
      <c r="K9" s="14">
        <v>0</v>
      </c>
      <c r="L9" s="16">
        <v>0</v>
      </c>
      <c r="M9" s="14">
        <v>0</v>
      </c>
      <c r="N9" s="16">
        <v>0</v>
      </c>
      <c r="O9" s="14">
        <v>0</v>
      </c>
      <c r="P9" s="16">
        <v>0</v>
      </c>
      <c r="Q9" s="14">
        <v>0</v>
      </c>
      <c r="R9" s="16">
        <v>0</v>
      </c>
    </row>
    <row r="10" spans="1:18" x14ac:dyDescent="0.25">
      <c r="A10" s="11" t="s">
        <v>142</v>
      </c>
      <c r="B10" s="13">
        <v>10036</v>
      </c>
      <c r="C10" s="14">
        <f>(8310/B10*100)</f>
        <v>82.80191311279394</v>
      </c>
      <c r="D10" s="15">
        <v>1726</v>
      </c>
      <c r="E10" s="14">
        <v>44.28014014</v>
      </c>
      <c r="F10" s="16">
        <v>1.63656676</v>
      </c>
      <c r="G10" s="14">
        <v>55.71985986</v>
      </c>
      <c r="H10" s="16">
        <v>1.63656676</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(2921/B11*100)</f>
        <v>82.212215029552496</v>
      </c>
      <c r="D11" s="15">
        <v>632</v>
      </c>
      <c r="E11" s="14">
        <v>55.81723581</v>
      </c>
      <c r="F11" s="16">
        <v>2.30860208</v>
      </c>
      <c r="G11" s="14">
        <v>44.18276419</v>
      </c>
      <c r="H11" s="16">
        <v>2.30860208</v>
      </c>
      <c r="I11" s="14" t="s">
        <v>139</v>
      </c>
      <c r="J11" s="16" t="s">
        <v>139</v>
      </c>
      <c r="K11" s="14">
        <v>0</v>
      </c>
      <c r="L11" s="16">
        <v>0</v>
      </c>
      <c r="M11" s="14">
        <v>0</v>
      </c>
      <c r="N11" s="16">
        <v>0</v>
      </c>
      <c r="O11" s="14">
        <v>0</v>
      </c>
      <c r="P11" s="16">
        <v>0</v>
      </c>
      <c r="Q11" s="14">
        <v>0</v>
      </c>
      <c r="R11" s="16">
        <v>0</v>
      </c>
    </row>
    <row r="12" spans="1:18" x14ac:dyDescent="0.25">
      <c r="A12" s="11" t="s">
        <v>144</v>
      </c>
      <c r="B12" s="13">
        <v>3472</v>
      </c>
      <c r="C12" s="14">
        <f>(2889/B12*100)</f>
        <v>83.208525345622121</v>
      </c>
      <c r="D12" s="15">
        <v>583</v>
      </c>
      <c r="E12" s="14">
        <v>50.74560031</v>
      </c>
      <c r="F12" s="16">
        <v>2.2769912300000001</v>
      </c>
      <c r="G12" s="14">
        <v>49.25439969</v>
      </c>
      <c r="H12" s="16">
        <v>2.2769912300000001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(2997/B13*100)</f>
        <v>84.209047485248661</v>
      </c>
      <c r="D13" s="15">
        <v>562</v>
      </c>
      <c r="E13" s="14">
        <v>48.792224740000002</v>
      </c>
      <c r="F13" s="16">
        <v>2.3436796200000001</v>
      </c>
      <c r="G13" s="14">
        <v>51.207775259999998</v>
      </c>
      <c r="H13" s="16">
        <v>2.3436796200000001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(2318/B14*100)</f>
        <v>82.815291175419787</v>
      </c>
      <c r="D14" s="15">
        <v>481</v>
      </c>
      <c r="E14" s="14">
        <v>48.318800490000001</v>
      </c>
      <c r="F14" s="16">
        <v>2.57339633</v>
      </c>
      <c r="G14" s="14">
        <v>51.681199509999999</v>
      </c>
      <c r="H14" s="16">
        <v>2.57339633</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48.10742415</v>
      </c>
      <c r="F15" s="16">
        <v>2.5894511800000002</v>
      </c>
      <c r="G15" s="14">
        <v>51.89257585</v>
      </c>
      <c r="H15" s="16">
        <v>2.5894511800000002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(2477/B16*100)</f>
        <v>82.649315982649313</v>
      </c>
      <c r="D16" s="15">
        <v>520</v>
      </c>
      <c r="E16" s="14">
        <v>57.309764790000003</v>
      </c>
      <c r="F16" s="16">
        <v>2.3095158499999999</v>
      </c>
      <c r="G16" s="14">
        <v>42.690235209999997</v>
      </c>
      <c r="H16" s="16">
        <v>2.3095158499999999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(2749/B17*100)</f>
        <v>83.126700937405502</v>
      </c>
      <c r="D17" s="15">
        <v>558</v>
      </c>
      <c r="E17" s="14">
        <v>55.210569079999999</v>
      </c>
      <c r="F17" s="16">
        <v>2.3826429</v>
      </c>
      <c r="G17" s="14">
        <v>44.789430920000001</v>
      </c>
      <c r="H17" s="16">
        <v>2.3826429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69.048028799999997</v>
      </c>
      <c r="F18" s="16">
        <v>2.3271992099999999</v>
      </c>
      <c r="G18" s="14">
        <v>30.951971199999999</v>
      </c>
      <c r="H18" s="16">
        <v>2.3271992099999999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(2323/B19*100)</f>
        <v>82.727920227920222</v>
      </c>
      <c r="D19" s="15">
        <v>485</v>
      </c>
      <c r="E19" s="14">
        <v>53.830855569999997</v>
      </c>
      <c r="F19" s="16">
        <v>2.27761309</v>
      </c>
      <c r="G19" s="14">
        <v>46.169144430000003</v>
      </c>
      <c r="H19" s="16">
        <v>2.27761309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(1349/B20*100)</f>
        <v>82.760736196319016</v>
      </c>
      <c r="D20" s="15">
        <v>281</v>
      </c>
      <c r="E20" s="14">
        <v>60.42246136</v>
      </c>
      <c r="F20" s="16">
        <v>3.1263741</v>
      </c>
      <c r="G20" s="14">
        <v>39.57753864</v>
      </c>
      <c r="H20" s="16">
        <v>3.1263741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(2447/B22*100)</f>
        <v>83.486864551347665</v>
      </c>
      <c r="D22" s="15">
        <v>484</v>
      </c>
      <c r="E22" s="14">
        <v>55.431465559999999</v>
      </c>
      <c r="F22" s="16">
        <v>2.5429458399999998</v>
      </c>
      <c r="G22" s="14">
        <v>44.568534440000001</v>
      </c>
      <c r="H22" s="16">
        <v>2.5429458399999998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(4782/B23*100)</f>
        <v>82.576411673286131</v>
      </c>
      <c r="D23" s="15">
        <v>1009</v>
      </c>
      <c r="E23" s="14">
        <v>50.912953399999999</v>
      </c>
      <c r="F23" s="16">
        <v>2.1894606699999999</v>
      </c>
      <c r="G23" s="14">
        <v>49.087046600000001</v>
      </c>
      <c r="H23" s="16">
        <v>2.1894606699999999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50.5634631</v>
      </c>
      <c r="F24" s="16">
        <v>1.99247416</v>
      </c>
      <c r="G24" s="14">
        <v>49.4365369</v>
      </c>
      <c r="H24" s="16">
        <v>1.99247416</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(2400/B25*100)</f>
        <v>82.417582417582409</v>
      </c>
      <c r="D25" s="15">
        <v>512</v>
      </c>
      <c r="E25" s="14">
        <v>47.935066990000003</v>
      </c>
      <c r="F25" s="16">
        <v>2.4268648499999999</v>
      </c>
      <c r="G25" s="14">
        <v>52.064933009999997</v>
      </c>
      <c r="H25" s="16">
        <v>2.4268648499999999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54.207301430000001</v>
      </c>
      <c r="F26" s="16">
        <v>2.4379793099999998</v>
      </c>
      <c r="G26" s="14">
        <v>45.792698569999999</v>
      </c>
      <c r="H26" s="16">
        <v>2.4379793099999998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(2166/B27*100)</f>
        <v>82.798165137614674</v>
      </c>
      <c r="D27" s="15">
        <v>450</v>
      </c>
      <c r="E27" s="14">
        <v>55.497531860000002</v>
      </c>
      <c r="F27" s="16">
        <v>2.1594764</v>
      </c>
      <c r="G27" s="14">
        <v>44.502468139999998</v>
      </c>
      <c r="H27" s="16">
        <v>2.1594764</v>
      </c>
      <c r="I27" s="14" t="s">
        <v>139</v>
      </c>
      <c r="J27" s="16" t="s">
        <v>139</v>
      </c>
      <c r="K27" s="14">
        <v>0</v>
      </c>
      <c r="L27" s="16">
        <v>0</v>
      </c>
      <c r="M27" s="14">
        <v>0</v>
      </c>
      <c r="N27" s="16">
        <v>0</v>
      </c>
      <c r="O27" s="14">
        <v>0</v>
      </c>
      <c r="P27" s="16">
        <v>0</v>
      </c>
      <c r="Q27" s="14">
        <v>0</v>
      </c>
      <c r="R27" s="16">
        <v>0</v>
      </c>
    </row>
    <row r="28" spans="1:18" x14ac:dyDescent="0.25">
      <c r="A28" s="11" t="s">
        <v>161</v>
      </c>
      <c r="B28" s="13">
        <v>3765</v>
      </c>
      <c r="C28" s="14">
        <f>(3134/B28*100)</f>
        <v>83.240371845949539</v>
      </c>
      <c r="D28" s="15">
        <v>631</v>
      </c>
      <c r="E28" s="14">
        <v>60.777520099999997</v>
      </c>
      <c r="F28" s="16">
        <v>2.2024918699999998</v>
      </c>
      <c r="G28" s="14">
        <v>39.222479900000003</v>
      </c>
      <c r="H28" s="16">
        <v>2.2024918699999998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52.196730860000002</v>
      </c>
      <c r="F29" s="16">
        <v>2.2451833200000002</v>
      </c>
      <c r="G29" s="14">
        <v>47.803269139999998</v>
      </c>
      <c r="H29" s="16">
        <v>2.2451833200000002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(1865/B30*100)</f>
        <v>82.412726469288557</v>
      </c>
      <c r="D30" s="15">
        <v>398</v>
      </c>
      <c r="E30" s="14">
        <v>44.461676220000001</v>
      </c>
      <c r="F30" s="16">
        <v>2.6849795900000002</v>
      </c>
      <c r="G30" s="14">
        <v>55.538323779999999</v>
      </c>
      <c r="H30" s="16">
        <v>2.6849795900000002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(2266/B31*100)</f>
        <v>82.399999999999991</v>
      </c>
      <c r="D31" s="15">
        <v>484</v>
      </c>
      <c r="E31" s="14">
        <v>51.232006490000003</v>
      </c>
      <c r="F31" s="16">
        <v>2.20986701</v>
      </c>
      <c r="G31" s="14">
        <v>48.767993509999997</v>
      </c>
      <c r="H31" s="16">
        <v>2.20986701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(3037/B33*100)</f>
        <v>82.661948829613493</v>
      </c>
      <c r="D33" s="15">
        <v>637</v>
      </c>
      <c r="E33" s="14">
        <v>53.184685690000002</v>
      </c>
      <c r="F33" s="16">
        <v>2.4851941800000001</v>
      </c>
      <c r="G33" s="14">
        <v>46.815314309999998</v>
      </c>
      <c r="H33" s="16">
        <v>2.4851941800000001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(2745/B34*100)</f>
        <v>82.805429864253384</v>
      </c>
      <c r="D34" s="15">
        <v>570</v>
      </c>
      <c r="E34" s="14">
        <v>55.166415270000002</v>
      </c>
      <c r="F34" s="16">
        <v>2.15105609</v>
      </c>
      <c r="G34" s="14">
        <v>44.833584729999998</v>
      </c>
      <c r="H34" s="16">
        <v>2.15105609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(2911/B35*100)</f>
        <v>83.052781740370889</v>
      </c>
      <c r="D35" s="15">
        <v>594</v>
      </c>
      <c r="E35" s="14">
        <v>49.709510059999999</v>
      </c>
      <c r="F35" s="16">
        <v>2.2913673000000001</v>
      </c>
      <c r="G35" s="14">
        <v>50.290489940000001</v>
      </c>
      <c r="H35" s="16">
        <v>2.2913673000000001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(2772/B36*100)</f>
        <v>83.193277310924373</v>
      </c>
      <c r="D36" s="15">
        <v>560</v>
      </c>
      <c r="E36" s="14">
        <v>52.34967597</v>
      </c>
      <c r="F36" s="16">
        <v>2.2486804199999999</v>
      </c>
      <c r="G36" s="14">
        <v>47.65032403</v>
      </c>
      <c r="H36" s="16">
        <v>2.2486804199999999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(2243/B37*100)</f>
        <v>82.251558489182258</v>
      </c>
      <c r="D37" s="15">
        <v>484</v>
      </c>
      <c r="E37" s="14">
        <v>55.165379899999998</v>
      </c>
      <c r="F37" s="16">
        <v>2.3148786299999999</v>
      </c>
      <c r="G37" s="14">
        <v>44.834620100000002</v>
      </c>
      <c r="H37" s="16">
        <v>2.3148786299999999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61.424573789999997</v>
      </c>
      <c r="F39" s="16">
        <v>2.4835346600000001</v>
      </c>
      <c r="G39" s="14">
        <v>38.575426210000003</v>
      </c>
      <c r="H39" s="16">
        <v>2.4835346600000001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(5960/B40*100)</f>
        <v>82.377332411886655</v>
      </c>
      <c r="D40" s="15">
        <v>1275</v>
      </c>
      <c r="E40" s="14">
        <v>48.133468270000002</v>
      </c>
      <c r="F40" s="16">
        <v>2.1720576700000001</v>
      </c>
      <c r="G40" s="14">
        <v>51.866531729999998</v>
      </c>
      <c r="H40" s="16">
        <v>2.1720576700000001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(2360/B41*100)</f>
        <v>82.575227431770472</v>
      </c>
      <c r="D41" s="15">
        <v>498</v>
      </c>
      <c r="E41" s="14">
        <v>46.811982839999999</v>
      </c>
      <c r="F41" s="16">
        <v>2.6576554200000002</v>
      </c>
      <c r="G41" s="14">
        <v>53.188017160000001</v>
      </c>
      <c r="H41" s="16">
        <v>2.6576554200000002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82.814934117879062</v>
      </c>
      <c r="D42" s="15">
        <f>IF(COUNT(D7:D41) &gt; 0, AVERAGE(D7:D41), "—")</f>
        <v>627.5625</v>
      </c>
      <c r="E42" s="14">
        <f>IF(COUNT(E7:E41) &gt; 0, AVERAGE(E7:E41), "—")</f>
        <v>53.163839035312506</v>
      </c>
      <c r="F42" s="16">
        <f>IF(COUNT(F7:F41) &gt; 0, SQRT(SUMSQ(F7:F41)/(COUNT(F7:F41)*COUNT(F7:F41)) ), "—")</f>
        <v>0.40853310585276564</v>
      </c>
      <c r="G42" s="14">
        <f>IF(COUNT(G7:G41) &gt; 0, AVERAGE(G7:G41), "—")</f>
        <v>46.836160964687501</v>
      </c>
      <c r="H42" s="16">
        <f>IF(COUNT(H7:H41) &gt; 0, SQRT(SUMSQ(H7:H41)/(COUNT(H7:H41)*COUNT(H7:H41)) ), "—")</f>
        <v>0.40853310585276564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(9324/B46*100)</f>
        <v>84.242862305746286</v>
      </c>
      <c r="D46" s="15">
        <v>1744</v>
      </c>
      <c r="E46" s="14">
        <v>63.332114150000002</v>
      </c>
      <c r="F46" s="16">
        <v>1.4901042600000001</v>
      </c>
      <c r="G46" s="14">
        <v>36.667885849999998</v>
      </c>
      <c r="H46" s="16">
        <v>1.4901042600000001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(2576/B47*100)</f>
        <v>82.962962962962962</v>
      </c>
      <c r="D47" s="15">
        <v>529</v>
      </c>
      <c r="E47" s="14">
        <v>62.006210549999999</v>
      </c>
      <c r="F47" s="16">
        <v>2.4314458600000002</v>
      </c>
      <c r="G47" s="14">
        <v>37.993789450000001</v>
      </c>
      <c r="H47" s="16">
        <v>2.4314458600000002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(4244/B48*100)</f>
        <v>82.264004652064344</v>
      </c>
      <c r="D48" s="15">
        <v>915</v>
      </c>
      <c r="E48" s="14">
        <v>57.669320210000002</v>
      </c>
      <c r="F48" s="16">
        <v>1.9718701199999999</v>
      </c>
      <c r="G48" s="14">
        <v>42.330679789999998</v>
      </c>
      <c r="H48" s="16">
        <v>1.9718701199999999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(4680/B50*100)</f>
        <v>83.022884513038846</v>
      </c>
      <c r="D50" s="15">
        <v>957</v>
      </c>
      <c r="E50" s="14">
        <v>55.773871329999999</v>
      </c>
      <c r="F50" s="16">
        <v>1.93251697</v>
      </c>
      <c r="G50" s="14">
        <v>44.226128670000001</v>
      </c>
      <c r="H50" s="16">
        <v>1.93251697</v>
      </c>
      <c r="I50" s="14" t="s">
        <v>139</v>
      </c>
      <c r="J50" s="16" t="s">
        <v>139</v>
      </c>
      <c r="K50" s="14">
        <v>0</v>
      </c>
      <c r="L50" s="16">
        <v>0</v>
      </c>
      <c r="M50" s="14">
        <v>0</v>
      </c>
      <c r="N50" s="16">
        <v>0</v>
      </c>
      <c r="O50" s="14">
        <v>0</v>
      </c>
      <c r="P50" s="16">
        <v>0</v>
      </c>
      <c r="Q50" s="14">
        <v>0</v>
      </c>
      <c r="R50" s="16">
        <v>0</v>
      </c>
    </row>
    <row r="51" spans="1:18" x14ac:dyDescent="0.25">
      <c r="A51" s="11" t="s">
        <v>184</v>
      </c>
      <c r="B51" s="13">
        <v>3372</v>
      </c>
      <c r="C51" s="14">
        <f>(2861/B51*100)</f>
        <v>84.845788849347571</v>
      </c>
      <c r="D51" s="15">
        <v>511</v>
      </c>
      <c r="E51" s="14">
        <v>61.237636680000001</v>
      </c>
      <c r="F51" s="16">
        <v>2.38739283</v>
      </c>
      <c r="G51" s="14">
        <v>38.762363319999999</v>
      </c>
      <c r="H51" s="16">
        <v>2.38739283</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(2338/B52*100)</f>
        <v>83.619456366237472</v>
      </c>
      <c r="D52" s="15">
        <v>458</v>
      </c>
      <c r="E52" s="14">
        <v>60.706672380000001</v>
      </c>
      <c r="F52" s="16">
        <v>2.3934729400000001</v>
      </c>
      <c r="G52" s="14">
        <v>39.293327619999999</v>
      </c>
      <c r="H52" s="16">
        <v>2.3934729400000001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(2312/B53*100)</f>
        <v>82.248310209889723</v>
      </c>
      <c r="D53" s="15">
        <v>499</v>
      </c>
      <c r="E53" s="14">
        <v>65.779444470000001</v>
      </c>
      <c r="F53" s="16">
        <v>2.0613796199999999</v>
      </c>
      <c r="G53" s="14">
        <v>34.220555529999999</v>
      </c>
      <c r="H53" s="16">
        <v>2.0613796199999999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(2211/B56*100)</f>
        <v>82.377049180327873</v>
      </c>
      <c r="D56" s="15">
        <v>473</v>
      </c>
      <c r="E56" s="14">
        <v>53.67480596</v>
      </c>
      <c r="F56" s="16">
        <v>2.1481738199999998</v>
      </c>
      <c r="G56" s="14">
        <v>46.32519404</v>
      </c>
      <c r="H56" s="16">
        <v>2.1481738199999998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(2763/B61*100)</f>
        <v>83.122743682310471</v>
      </c>
      <c r="D61" s="15">
        <v>561</v>
      </c>
      <c r="E61" s="14">
        <v>57.067581240000003</v>
      </c>
      <c r="F61" s="16">
        <v>2.5083341199999998</v>
      </c>
      <c r="G61" s="14">
        <v>42.932418759999997</v>
      </c>
      <c r="H61" s="16">
        <v>2.5083341199999998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(1871/B62*100)</f>
        <v>83.303650934995545</v>
      </c>
      <c r="D62" s="15">
        <v>375</v>
      </c>
      <c r="E62" s="14">
        <v>50.188453039999999</v>
      </c>
      <c r="F62" s="16">
        <v>2.4863086999999999</v>
      </c>
      <c r="G62" s="14">
        <v>49.811546960000001</v>
      </c>
      <c r="H62" s="16">
        <v>2.4863086999999999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(2405/B66*100)</f>
        <v>83.102971665514858</v>
      </c>
      <c r="D66" s="15">
        <v>489</v>
      </c>
      <c r="E66" s="14">
        <v>69.465037760000001</v>
      </c>
      <c r="F66" s="16">
        <v>2.0826277000000002</v>
      </c>
      <c r="G66" s="14">
        <v>30.534962239999999</v>
      </c>
      <c r="H66" s="16">
        <v>2.0826277000000002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(2905/B67*100)</f>
        <v>82.739960125320422</v>
      </c>
      <c r="D67" s="15">
        <v>606</v>
      </c>
      <c r="E67" s="14">
        <v>65.16062556</v>
      </c>
      <c r="F67" s="16">
        <v>2.1483816600000001</v>
      </c>
      <c r="G67" s="14">
        <v>34.83937444</v>
      </c>
      <c r="H67" s="16">
        <v>2.1483816600000001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(2427/B70*100)</f>
        <v>82.861044725162174</v>
      </c>
      <c r="D70" s="15">
        <v>502</v>
      </c>
      <c r="E70" s="14">
        <v>52.026617739999999</v>
      </c>
      <c r="F70" s="16">
        <v>2.49815992</v>
      </c>
      <c r="G70" s="14">
        <v>47.973382260000001</v>
      </c>
      <c r="H70" s="16">
        <v>2.49815992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49.207856659999997</v>
      </c>
      <c r="F72" s="16">
        <v>2.2674675999999998</v>
      </c>
      <c r="G72" s="14">
        <v>50.792143340000003</v>
      </c>
      <c r="H72" s="16">
        <v>2.2674675999999998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(2986/B73*100)</f>
        <v>83.013622463163756</v>
      </c>
      <c r="D73" s="15">
        <v>611</v>
      </c>
      <c r="E73" s="14">
        <v>62.164053690000003</v>
      </c>
      <c r="F73" s="16">
        <v>2.2386328299999998</v>
      </c>
      <c r="G73" s="14">
        <v>37.835946309999997</v>
      </c>
      <c r="H73" s="16">
        <v>2.2386328299999998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(2034/B75*100)</f>
        <v>84.538653366583532</v>
      </c>
      <c r="D75" s="15">
        <v>372</v>
      </c>
      <c r="E75" s="14">
        <v>66.276036809999994</v>
      </c>
      <c r="F75" s="16">
        <v>2.77599353</v>
      </c>
      <c r="G75" s="14">
        <v>33.723963189999999</v>
      </c>
      <c r="H75" s="16">
        <v>2.77599353</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(5834/B76*100)</f>
        <v>82.728304027226315</v>
      </c>
      <c r="D76" s="15">
        <v>1218</v>
      </c>
      <c r="E76" s="14">
        <v>66.072037800000004</v>
      </c>
      <c r="F76" s="16">
        <v>1.6501713499999999</v>
      </c>
      <c r="G76" s="14">
        <v>33.927962200000003</v>
      </c>
      <c r="H76" s="16">
        <v>1.6501713499999999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(2400/B77*100)</f>
        <v>82.530949105914715</v>
      </c>
      <c r="D77" s="15">
        <v>508</v>
      </c>
      <c r="E77" s="14">
        <v>62.745916260000001</v>
      </c>
      <c r="F77" s="16">
        <v>2.4894305000000001</v>
      </c>
      <c r="G77" s="14">
        <v>37.254083739999999</v>
      </c>
      <c r="H77" s="16">
        <v>2.4894305000000001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58.707139120000001</v>
      </c>
      <c r="F81" s="16">
        <v>2.14068024</v>
      </c>
      <c r="G81" s="14">
        <v>41.292860879999999</v>
      </c>
      <c r="H81" s="16">
        <v>2.14068024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258</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230</v>
      </c>
      <c r="F4" s="24"/>
      <c r="G4" s="23" t="s">
        <v>231</v>
      </c>
      <c r="H4" s="24"/>
      <c r="I4" s="23" t="s">
        <v>233</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(6121/B7*100)</f>
        <v>83.086738156644486</v>
      </c>
      <c r="D7" s="15">
        <v>1246</v>
      </c>
      <c r="E7" s="14">
        <v>26.75449472</v>
      </c>
      <c r="F7" s="16">
        <v>1.56352446</v>
      </c>
      <c r="G7" s="14">
        <v>33.272995299999998</v>
      </c>
      <c r="H7" s="16">
        <v>1.52715724</v>
      </c>
      <c r="I7" s="14">
        <v>39.972509979999998</v>
      </c>
      <c r="J7" s="16">
        <v>1.58092795</v>
      </c>
      <c r="K7" s="14" t="s">
        <v>139</v>
      </c>
      <c r="L7" s="16" t="s">
        <v>139</v>
      </c>
      <c r="M7" s="14">
        <v>0</v>
      </c>
      <c r="N7" s="16">
        <v>0</v>
      </c>
      <c r="O7" s="14">
        <v>0</v>
      </c>
      <c r="P7" s="16">
        <v>0</v>
      </c>
      <c r="Q7" s="14">
        <v>0</v>
      </c>
      <c r="R7" s="16">
        <v>0</v>
      </c>
      <c r="S7" s="14">
        <v>0</v>
      </c>
      <c r="T7" s="16">
        <v>0</v>
      </c>
    </row>
    <row r="8" spans="1:20" x14ac:dyDescent="0.25">
      <c r="A8" s="11" t="s">
        <v>140</v>
      </c>
      <c r="B8" s="13">
        <v>3564</v>
      </c>
      <c r="C8" s="14">
        <f>(2946/B8*100)</f>
        <v>82.65993265993265</v>
      </c>
      <c r="D8" s="15">
        <v>618</v>
      </c>
      <c r="E8" s="14">
        <v>26.076320670000001</v>
      </c>
      <c r="F8" s="16">
        <v>1.91929814</v>
      </c>
      <c r="G8" s="14">
        <v>27.405500759999999</v>
      </c>
      <c r="H8" s="16">
        <v>2.0005063199999999</v>
      </c>
      <c r="I8" s="14">
        <v>46.518178570000003</v>
      </c>
      <c r="J8" s="16">
        <v>1.97310393</v>
      </c>
      <c r="K8" s="14" t="s">
        <v>139</v>
      </c>
      <c r="L8" s="16" t="s">
        <v>139</v>
      </c>
      <c r="M8" s="14">
        <v>0</v>
      </c>
      <c r="N8" s="16">
        <v>0</v>
      </c>
      <c r="O8" s="14">
        <v>0</v>
      </c>
      <c r="P8" s="16">
        <v>0</v>
      </c>
      <c r="Q8" s="14">
        <v>0</v>
      </c>
      <c r="R8" s="16">
        <v>0</v>
      </c>
      <c r="S8" s="14">
        <v>0</v>
      </c>
      <c r="T8" s="16">
        <v>0</v>
      </c>
    </row>
    <row r="9" spans="1:20" x14ac:dyDescent="0.25">
      <c r="A9" s="11" t="s">
        <v>141</v>
      </c>
      <c r="B9" s="13">
        <v>4899</v>
      </c>
      <c r="C9" s="14">
        <f>(4089/B9*100)</f>
        <v>83.466013472137163</v>
      </c>
      <c r="D9" s="15">
        <v>810</v>
      </c>
      <c r="E9" s="14">
        <v>25.132573359999999</v>
      </c>
      <c r="F9" s="16">
        <v>1.4546519499999999</v>
      </c>
      <c r="G9" s="14">
        <v>30.599027240000002</v>
      </c>
      <c r="H9" s="16">
        <v>1.99528525</v>
      </c>
      <c r="I9" s="14">
        <v>44.2683994</v>
      </c>
      <c r="J9" s="16">
        <v>1.8965180399999999</v>
      </c>
      <c r="K9" s="14" t="s">
        <v>139</v>
      </c>
      <c r="L9" s="16" t="s">
        <v>139</v>
      </c>
      <c r="M9" s="14">
        <v>0</v>
      </c>
      <c r="N9" s="16">
        <v>0</v>
      </c>
      <c r="O9" s="14">
        <v>0</v>
      </c>
      <c r="P9" s="16">
        <v>0</v>
      </c>
      <c r="Q9" s="14">
        <v>0</v>
      </c>
      <c r="R9" s="16">
        <v>0</v>
      </c>
      <c r="S9" s="14">
        <v>0</v>
      </c>
      <c r="T9" s="16">
        <v>0</v>
      </c>
    </row>
    <row r="10" spans="1:20" x14ac:dyDescent="0.25">
      <c r="A10" s="11" t="s">
        <v>142</v>
      </c>
      <c r="B10" s="13">
        <v>10036</v>
      </c>
      <c r="C10" s="14">
        <f>(8312/B10*100)</f>
        <v>82.821841371064167</v>
      </c>
      <c r="D10" s="15">
        <v>1724</v>
      </c>
      <c r="E10" s="14">
        <v>22.658041560000001</v>
      </c>
      <c r="F10" s="16">
        <v>1.40317884</v>
      </c>
      <c r="G10" s="14">
        <v>29.857084539999999</v>
      </c>
      <c r="H10" s="16">
        <v>1.56207919</v>
      </c>
      <c r="I10" s="14">
        <v>47.484873909999997</v>
      </c>
      <c r="J10" s="16">
        <v>1.49398437</v>
      </c>
      <c r="K10" s="14" t="s">
        <v>139</v>
      </c>
      <c r="L10" s="16" t="s">
        <v>139</v>
      </c>
      <c r="M10" s="14">
        <v>0</v>
      </c>
      <c r="N10" s="16">
        <v>0</v>
      </c>
      <c r="O10" s="14">
        <v>0</v>
      </c>
      <c r="P10" s="16">
        <v>0</v>
      </c>
      <c r="Q10" s="14">
        <v>0</v>
      </c>
      <c r="R10" s="16">
        <v>0</v>
      </c>
      <c r="S10" s="14">
        <v>0</v>
      </c>
      <c r="T10" s="16">
        <v>0</v>
      </c>
    </row>
    <row r="11" spans="1:20" x14ac:dyDescent="0.25">
      <c r="A11" s="11" t="s">
        <v>143</v>
      </c>
      <c r="B11" s="13">
        <v>3553</v>
      </c>
      <c r="C11" s="14">
        <f>(2922/B11*100)</f>
        <v>82.240360258936107</v>
      </c>
      <c r="D11" s="15">
        <v>631</v>
      </c>
      <c r="E11" s="14">
        <v>33.009947840000002</v>
      </c>
      <c r="F11" s="16">
        <v>2.0581839999999998</v>
      </c>
      <c r="G11" s="14">
        <v>34.701537590000001</v>
      </c>
      <c r="H11" s="16">
        <v>2.1816311499999999</v>
      </c>
      <c r="I11" s="14">
        <v>32.288514569999997</v>
      </c>
      <c r="J11" s="16">
        <v>2.2507258999999999</v>
      </c>
      <c r="K11" s="14" t="s">
        <v>139</v>
      </c>
      <c r="L11" s="16" t="s">
        <v>139</v>
      </c>
      <c r="M11" s="14">
        <v>0</v>
      </c>
      <c r="N11" s="16">
        <v>0</v>
      </c>
      <c r="O11" s="14">
        <v>0</v>
      </c>
      <c r="P11" s="16">
        <v>0</v>
      </c>
      <c r="Q11" s="14">
        <v>0</v>
      </c>
      <c r="R11" s="16">
        <v>0</v>
      </c>
      <c r="S11" s="14">
        <v>0</v>
      </c>
      <c r="T11" s="16">
        <v>0</v>
      </c>
    </row>
    <row r="12" spans="1:20" x14ac:dyDescent="0.25">
      <c r="A12" s="11" t="s">
        <v>144</v>
      </c>
      <c r="B12" s="13">
        <v>3472</v>
      </c>
      <c r="C12" s="14">
        <f>(2889/B12*100)</f>
        <v>83.208525345622121</v>
      </c>
      <c r="D12" s="15">
        <v>583</v>
      </c>
      <c r="E12" s="14">
        <v>27.319856770000001</v>
      </c>
      <c r="F12" s="16">
        <v>2.17457243</v>
      </c>
      <c r="G12" s="14">
        <v>31.33316975</v>
      </c>
      <c r="H12" s="16">
        <v>2.50764553</v>
      </c>
      <c r="I12" s="14">
        <v>41.346973470000002</v>
      </c>
      <c r="J12" s="16">
        <v>2.1607192</v>
      </c>
      <c r="K12" s="14" t="s">
        <v>139</v>
      </c>
      <c r="L12" s="16" t="s">
        <v>139</v>
      </c>
      <c r="M12" s="14">
        <v>0</v>
      </c>
      <c r="N12" s="16">
        <v>0</v>
      </c>
      <c r="O12" s="14">
        <v>0</v>
      </c>
      <c r="P12" s="16">
        <v>0</v>
      </c>
      <c r="Q12" s="14">
        <v>0</v>
      </c>
      <c r="R12" s="16">
        <v>0</v>
      </c>
      <c r="S12" s="14">
        <v>0</v>
      </c>
      <c r="T12" s="16">
        <v>0</v>
      </c>
    </row>
    <row r="13" spans="1:20" x14ac:dyDescent="0.25">
      <c r="A13" s="11" t="s">
        <v>145</v>
      </c>
      <c r="B13" s="13">
        <v>3559</v>
      </c>
      <c r="C13" s="14">
        <f>(2998/B13*100)</f>
        <v>84.23714526552402</v>
      </c>
      <c r="D13" s="15">
        <v>561</v>
      </c>
      <c r="E13" s="14">
        <v>31.809070949999999</v>
      </c>
      <c r="F13" s="16">
        <v>2.54796961</v>
      </c>
      <c r="G13" s="14">
        <v>35.535085350000003</v>
      </c>
      <c r="H13" s="16">
        <v>2.3525291799999999</v>
      </c>
      <c r="I13" s="14">
        <v>32.655843709999999</v>
      </c>
      <c r="J13" s="16">
        <v>2.5755359499999999</v>
      </c>
      <c r="K13" s="14" t="s">
        <v>139</v>
      </c>
      <c r="L13" s="16" t="s">
        <v>139</v>
      </c>
      <c r="M13" s="14">
        <v>0</v>
      </c>
      <c r="N13" s="16">
        <v>0</v>
      </c>
      <c r="O13" s="14">
        <v>0</v>
      </c>
      <c r="P13" s="16">
        <v>0</v>
      </c>
      <c r="Q13" s="14">
        <v>0</v>
      </c>
      <c r="R13" s="16">
        <v>0</v>
      </c>
      <c r="S13" s="14">
        <v>0</v>
      </c>
      <c r="T13" s="16">
        <v>0</v>
      </c>
    </row>
    <row r="14" spans="1:20" x14ac:dyDescent="0.25">
      <c r="A14" s="11" t="s">
        <v>146</v>
      </c>
      <c r="B14" s="13">
        <v>2799</v>
      </c>
      <c r="C14" s="14">
        <f>(2318/B14*100)</f>
        <v>82.815291175419787</v>
      </c>
      <c r="D14" s="15">
        <v>481</v>
      </c>
      <c r="E14" s="14">
        <v>21.22267429</v>
      </c>
      <c r="F14" s="16">
        <v>2.03332544</v>
      </c>
      <c r="G14" s="14">
        <v>30.399969630000001</v>
      </c>
      <c r="H14" s="16">
        <v>2.4697059600000002</v>
      </c>
      <c r="I14" s="14">
        <v>48.377356079999998</v>
      </c>
      <c r="J14" s="16">
        <v>2.6699257099999998</v>
      </c>
      <c r="K14" s="14" t="s">
        <v>139</v>
      </c>
      <c r="L14" s="16" t="s">
        <v>139</v>
      </c>
      <c r="M14" s="14">
        <v>0</v>
      </c>
      <c r="N14" s="16">
        <v>0</v>
      </c>
      <c r="O14" s="14">
        <v>0</v>
      </c>
      <c r="P14" s="16">
        <v>0</v>
      </c>
      <c r="Q14" s="14">
        <v>0</v>
      </c>
      <c r="R14" s="16">
        <v>0</v>
      </c>
      <c r="S14" s="14">
        <v>0</v>
      </c>
      <c r="T14" s="16">
        <v>0</v>
      </c>
    </row>
    <row r="15" spans="1:20" x14ac:dyDescent="0.25">
      <c r="A15" s="11" t="s">
        <v>147</v>
      </c>
      <c r="B15" s="13">
        <v>3019</v>
      </c>
      <c r="C15" s="14">
        <f>(2497/B15*100)</f>
        <v>82.709506459092424</v>
      </c>
      <c r="D15" s="15">
        <v>522</v>
      </c>
      <c r="E15" s="14">
        <v>33.458333619999998</v>
      </c>
      <c r="F15" s="16">
        <v>2.0814848700000002</v>
      </c>
      <c r="G15" s="14">
        <v>28.182965620000001</v>
      </c>
      <c r="H15" s="16">
        <v>1.9435633299999999</v>
      </c>
      <c r="I15" s="14">
        <v>38.358700759999998</v>
      </c>
      <c r="J15" s="16">
        <v>1.87735008</v>
      </c>
      <c r="K15" s="14" t="s">
        <v>139</v>
      </c>
      <c r="L15" s="16" t="s">
        <v>139</v>
      </c>
      <c r="M15" s="14">
        <v>0</v>
      </c>
      <c r="N15" s="16">
        <v>0</v>
      </c>
      <c r="O15" s="14">
        <v>0</v>
      </c>
      <c r="P15" s="16">
        <v>0</v>
      </c>
      <c r="Q15" s="14">
        <v>0</v>
      </c>
      <c r="R15" s="16">
        <v>0</v>
      </c>
      <c r="S15" s="14">
        <v>0</v>
      </c>
      <c r="T15" s="16">
        <v>0</v>
      </c>
    </row>
    <row r="16" spans="1:20" x14ac:dyDescent="0.25">
      <c r="A16" s="11" t="s">
        <v>148</v>
      </c>
      <c r="B16" s="13">
        <v>2997</v>
      </c>
      <c r="C16" s="14">
        <f>(2477/B16*100)</f>
        <v>82.649315982649313</v>
      </c>
      <c r="D16" s="15">
        <v>520</v>
      </c>
      <c r="E16" s="14">
        <v>28.406042630000002</v>
      </c>
      <c r="F16" s="16">
        <v>2.3156325999999998</v>
      </c>
      <c r="G16" s="14">
        <v>30.209434479999999</v>
      </c>
      <c r="H16" s="16">
        <v>1.9255552199999999</v>
      </c>
      <c r="I16" s="14">
        <v>41.38452289</v>
      </c>
      <c r="J16" s="16">
        <v>2.20690404</v>
      </c>
      <c r="K16" s="14" t="s">
        <v>139</v>
      </c>
      <c r="L16" s="16" t="s">
        <v>139</v>
      </c>
      <c r="M16" s="14">
        <v>0</v>
      </c>
      <c r="N16" s="16">
        <v>0</v>
      </c>
      <c r="O16" s="14">
        <v>0</v>
      </c>
      <c r="P16" s="16">
        <v>0</v>
      </c>
      <c r="Q16" s="14">
        <v>0</v>
      </c>
      <c r="R16" s="16">
        <v>0</v>
      </c>
      <c r="S16" s="14">
        <v>0</v>
      </c>
      <c r="T16" s="16">
        <v>0</v>
      </c>
    </row>
    <row r="17" spans="1:20" x14ac:dyDescent="0.25">
      <c r="A17" s="11" t="s">
        <v>149</v>
      </c>
      <c r="B17" s="13">
        <v>3307</v>
      </c>
      <c r="C17" s="14">
        <f>(2749/B17*100)</f>
        <v>83.126700937405502</v>
      </c>
      <c r="D17" s="15">
        <v>558</v>
      </c>
      <c r="E17" s="14">
        <v>27.568823859999998</v>
      </c>
      <c r="F17" s="16">
        <v>2.3973442899999999</v>
      </c>
      <c r="G17" s="14">
        <v>30.51653048</v>
      </c>
      <c r="H17" s="16">
        <v>2.1553485700000001</v>
      </c>
      <c r="I17" s="14">
        <v>41.914645659999998</v>
      </c>
      <c r="J17" s="16">
        <v>2.2628789299999998</v>
      </c>
      <c r="K17" s="14" t="s">
        <v>139</v>
      </c>
      <c r="L17" s="16" t="s">
        <v>139</v>
      </c>
      <c r="M17" s="14">
        <v>0</v>
      </c>
      <c r="N17" s="16">
        <v>0</v>
      </c>
      <c r="O17" s="14">
        <v>0</v>
      </c>
      <c r="P17" s="16">
        <v>0</v>
      </c>
      <c r="Q17" s="14">
        <v>0</v>
      </c>
      <c r="R17" s="16">
        <v>0</v>
      </c>
      <c r="S17" s="14">
        <v>0</v>
      </c>
      <c r="T17" s="16">
        <v>0</v>
      </c>
    </row>
    <row r="18" spans="1:20" x14ac:dyDescent="0.25">
      <c r="A18" s="11" t="s">
        <v>150</v>
      </c>
      <c r="B18" s="13">
        <v>2826</v>
      </c>
      <c r="C18" s="14">
        <f>(2338/B18*100)</f>
        <v>82.731776362349606</v>
      </c>
      <c r="D18" s="15">
        <v>488</v>
      </c>
      <c r="E18" s="14">
        <v>40.625425620000001</v>
      </c>
      <c r="F18" s="16">
        <v>2.51920565</v>
      </c>
      <c r="G18" s="14">
        <v>29.709304599999999</v>
      </c>
      <c r="H18" s="16">
        <v>2.31178478</v>
      </c>
      <c r="I18" s="14">
        <v>29.665269779999999</v>
      </c>
      <c r="J18" s="16">
        <v>2.2184972200000002</v>
      </c>
      <c r="K18" s="14" t="s">
        <v>139</v>
      </c>
      <c r="L18" s="16" t="s">
        <v>139</v>
      </c>
      <c r="M18" s="14">
        <v>0</v>
      </c>
      <c r="N18" s="16">
        <v>0</v>
      </c>
      <c r="O18" s="14">
        <v>0</v>
      </c>
      <c r="P18" s="16">
        <v>0</v>
      </c>
      <c r="Q18" s="14">
        <v>0</v>
      </c>
      <c r="R18" s="16">
        <v>0</v>
      </c>
      <c r="S18" s="14">
        <v>0</v>
      </c>
      <c r="T18" s="16">
        <v>0</v>
      </c>
    </row>
    <row r="19" spans="1:20" x14ac:dyDescent="0.25">
      <c r="A19" s="11" t="s">
        <v>151</v>
      </c>
      <c r="B19" s="13">
        <v>2808</v>
      </c>
      <c r="C19" s="14">
        <f>(2323/B19*100)</f>
        <v>82.727920227920222</v>
      </c>
      <c r="D19" s="15">
        <v>485</v>
      </c>
      <c r="E19" s="14">
        <v>37.008515529999997</v>
      </c>
      <c r="F19" s="16">
        <v>2.30298216</v>
      </c>
      <c r="G19" s="14">
        <v>30.513690270000001</v>
      </c>
      <c r="H19" s="16">
        <v>2.0697685899999998</v>
      </c>
      <c r="I19" s="14">
        <v>32.477794209999999</v>
      </c>
      <c r="J19" s="16">
        <v>2.6239830899999999</v>
      </c>
      <c r="K19" s="14" t="s">
        <v>139</v>
      </c>
      <c r="L19" s="16" t="s">
        <v>139</v>
      </c>
      <c r="M19" s="14">
        <v>0</v>
      </c>
      <c r="N19" s="16">
        <v>0</v>
      </c>
      <c r="O19" s="14">
        <v>0</v>
      </c>
      <c r="P19" s="16">
        <v>0</v>
      </c>
      <c r="Q19" s="14">
        <v>0</v>
      </c>
      <c r="R19" s="16">
        <v>0</v>
      </c>
      <c r="S19" s="14">
        <v>0</v>
      </c>
      <c r="T19" s="16">
        <v>0</v>
      </c>
    </row>
    <row r="20" spans="1:20" x14ac:dyDescent="0.25">
      <c r="A20" s="11" t="s">
        <v>152</v>
      </c>
      <c r="B20" s="13">
        <v>1630</v>
      </c>
      <c r="C20" s="14">
        <f>(1349/B20*100)</f>
        <v>82.760736196319016</v>
      </c>
      <c r="D20" s="15">
        <v>281</v>
      </c>
      <c r="E20" s="14">
        <v>30.19262204</v>
      </c>
      <c r="F20" s="16">
        <v>3.02242312</v>
      </c>
      <c r="G20" s="14">
        <v>34.130168670000003</v>
      </c>
      <c r="H20" s="16">
        <v>3.1167135500000001</v>
      </c>
      <c r="I20" s="14">
        <v>35.67720929</v>
      </c>
      <c r="J20" s="16">
        <v>3.15067765</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(2447/B22*100)</f>
        <v>83.486864551347665</v>
      </c>
      <c r="D22" s="15">
        <v>484</v>
      </c>
      <c r="E22" s="14">
        <v>36.351554870000001</v>
      </c>
      <c r="F22" s="16">
        <v>2.2450261299999998</v>
      </c>
      <c r="G22" s="14">
        <v>24.15834065</v>
      </c>
      <c r="H22" s="16">
        <v>2.22266488</v>
      </c>
      <c r="I22" s="14">
        <v>39.490104479999999</v>
      </c>
      <c r="J22" s="16">
        <v>2.9153176900000002</v>
      </c>
      <c r="K22" s="14" t="s">
        <v>139</v>
      </c>
      <c r="L22" s="16" t="s">
        <v>139</v>
      </c>
      <c r="M22" s="14">
        <v>0</v>
      </c>
      <c r="N22" s="16">
        <v>0</v>
      </c>
      <c r="O22" s="14">
        <v>0</v>
      </c>
      <c r="P22" s="16">
        <v>0</v>
      </c>
      <c r="Q22" s="14">
        <v>0</v>
      </c>
      <c r="R22" s="16">
        <v>0</v>
      </c>
      <c r="S22" s="14">
        <v>0</v>
      </c>
      <c r="T22" s="16">
        <v>0</v>
      </c>
    </row>
    <row r="23" spans="1:20" x14ac:dyDescent="0.25">
      <c r="A23" s="11" t="s">
        <v>156</v>
      </c>
      <c r="B23" s="13">
        <v>5791</v>
      </c>
      <c r="C23" s="14">
        <f>(4782/B23*100)</f>
        <v>82.576411673286131</v>
      </c>
      <c r="D23" s="15">
        <v>1009</v>
      </c>
      <c r="E23" s="14">
        <v>33.58162102</v>
      </c>
      <c r="F23" s="16">
        <v>2.03052623</v>
      </c>
      <c r="G23" s="14">
        <v>33.602583989999999</v>
      </c>
      <c r="H23" s="16">
        <v>2.0526977300000002</v>
      </c>
      <c r="I23" s="14">
        <v>32.815794990000001</v>
      </c>
      <c r="J23" s="16">
        <v>2.1945171700000001</v>
      </c>
      <c r="K23" s="14" t="s">
        <v>139</v>
      </c>
      <c r="L23" s="16" t="s">
        <v>139</v>
      </c>
      <c r="M23" s="14">
        <v>0</v>
      </c>
      <c r="N23" s="16">
        <v>0</v>
      </c>
      <c r="O23" s="14">
        <v>0</v>
      </c>
      <c r="P23" s="16">
        <v>0</v>
      </c>
      <c r="Q23" s="14">
        <v>0</v>
      </c>
      <c r="R23" s="16">
        <v>0</v>
      </c>
      <c r="S23" s="14">
        <v>0</v>
      </c>
      <c r="T23" s="16">
        <v>0</v>
      </c>
    </row>
    <row r="24" spans="1:20" x14ac:dyDescent="0.25">
      <c r="A24" s="11" t="s">
        <v>157</v>
      </c>
      <c r="B24" s="13">
        <v>3338</v>
      </c>
      <c r="C24" s="14">
        <f>(2753/B24*100)</f>
        <v>82.474535650089877</v>
      </c>
      <c r="D24" s="15">
        <v>585</v>
      </c>
      <c r="E24" s="14">
        <v>32.376160149999997</v>
      </c>
      <c r="F24" s="16">
        <v>2.2261479400000002</v>
      </c>
      <c r="G24" s="14">
        <v>30.798821310000001</v>
      </c>
      <c r="H24" s="16">
        <v>2.1216211199999999</v>
      </c>
      <c r="I24" s="14">
        <v>36.825018540000002</v>
      </c>
      <c r="J24" s="16">
        <v>2.3318216399999998</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(2400/B25*100)</f>
        <v>82.417582417582409</v>
      </c>
      <c r="D25" s="15">
        <v>512</v>
      </c>
      <c r="E25" s="14">
        <v>29.230627080000001</v>
      </c>
      <c r="F25" s="16">
        <v>2.1039388200000002</v>
      </c>
      <c r="G25" s="14">
        <v>30.04701296</v>
      </c>
      <c r="H25" s="16">
        <v>2.0649748300000001</v>
      </c>
      <c r="I25" s="14">
        <v>40.722359969999999</v>
      </c>
      <c r="J25" s="16">
        <v>2.3896895599999999</v>
      </c>
      <c r="K25" s="14" t="s">
        <v>139</v>
      </c>
      <c r="L25" s="16" t="s">
        <v>139</v>
      </c>
      <c r="M25" s="14">
        <v>0</v>
      </c>
      <c r="N25" s="16">
        <v>0</v>
      </c>
      <c r="O25" s="14">
        <v>0</v>
      </c>
      <c r="P25" s="16">
        <v>0</v>
      </c>
      <c r="Q25" s="14">
        <v>0</v>
      </c>
      <c r="R25" s="16">
        <v>0</v>
      </c>
      <c r="S25" s="14">
        <v>0</v>
      </c>
      <c r="T25" s="16">
        <v>0</v>
      </c>
    </row>
    <row r="26" spans="1:20" x14ac:dyDescent="0.25">
      <c r="A26" s="11" t="s">
        <v>159</v>
      </c>
      <c r="B26" s="13">
        <v>2450</v>
      </c>
      <c r="C26" s="14">
        <f>(2032/B26*100)</f>
        <v>82.938775510204081</v>
      </c>
      <c r="D26" s="15">
        <v>418</v>
      </c>
      <c r="E26" s="14">
        <v>28.02206361</v>
      </c>
      <c r="F26" s="16">
        <v>2.0219892700000002</v>
      </c>
      <c r="G26" s="14">
        <v>33.556239089999998</v>
      </c>
      <c r="H26" s="16">
        <v>2.36690779</v>
      </c>
      <c r="I26" s="14">
        <v>38.421697299999998</v>
      </c>
      <c r="J26" s="16">
        <v>2.2189112199999999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(2166/B27*100)</f>
        <v>82.798165137614674</v>
      </c>
      <c r="D27" s="15">
        <v>450</v>
      </c>
      <c r="E27" s="14">
        <v>32.546571980000003</v>
      </c>
      <c r="F27" s="16">
        <v>2.0566897000000002</v>
      </c>
      <c r="G27" s="14">
        <v>28.078166840000002</v>
      </c>
      <c r="H27" s="16">
        <v>1.9928645300000001</v>
      </c>
      <c r="I27" s="14">
        <v>39.375261190000003</v>
      </c>
      <c r="J27" s="16">
        <v>2.4453628799999998</v>
      </c>
      <c r="K27" s="14" t="s">
        <v>139</v>
      </c>
      <c r="L27" s="16" t="s">
        <v>139</v>
      </c>
      <c r="M27" s="14">
        <v>0</v>
      </c>
      <c r="N27" s="16">
        <v>0</v>
      </c>
      <c r="O27" s="14">
        <v>0</v>
      </c>
      <c r="P27" s="16">
        <v>0</v>
      </c>
      <c r="Q27" s="14">
        <v>0</v>
      </c>
      <c r="R27" s="16">
        <v>0</v>
      </c>
      <c r="S27" s="14">
        <v>0</v>
      </c>
      <c r="T27" s="16">
        <v>0</v>
      </c>
    </row>
    <row r="28" spans="1:20" x14ac:dyDescent="0.25">
      <c r="A28" s="11" t="s">
        <v>161</v>
      </c>
      <c r="B28" s="13">
        <v>3765</v>
      </c>
      <c r="C28" s="14">
        <f>(3139/B28*100)</f>
        <v>83.373173970783526</v>
      </c>
      <c r="D28" s="15">
        <v>626</v>
      </c>
      <c r="E28" s="14">
        <v>31.29392022</v>
      </c>
      <c r="F28" s="16">
        <v>2.4373471900000001</v>
      </c>
      <c r="G28" s="14">
        <v>31.499977470000001</v>
      </c>
      <c r="H28" s="16">
        <v>2.2677678100000001</v>
      </c>
      <c r="I28" s="14">
        <v>37.206102309999999</v>
      </c>
      <c r="J28" s="16">
        <v>2.1807909200000002</v>
      </c>
      <c r="K28" s="14" t="s">
        <v>139</v>
      </c>
      <c r="L28" s="16" t="s">
        <v>139</v>
      </c>
      <c r="M28" s="14">
        <v>0</v>
      </c>
      <c r="N28" s="16">
        <v>0</v>
      </c>
      <c r="O28" s="14">
        <v>0</v>
      </c>
      <c r="P28" s="16">
        <v>0</v>
      </c>
      <c r="Q28" s="14">
        <v>0</v>
      </c>
      <c r="R28" s="16">
        <v>0</v>
      </c>
      <c r="S28" s="14">
        <v>0</v>
      </c>
      <c r="T28" s="16">
        <v>0</v>
      </c>
    </row>
    <row r="29" spans="1:20" x14ac:dyDescent="0.25">
      <c r="A29" s="11" t="s">
        <v>162</v>
      </c>
      <c r="B29" s="13">
        <v>2685</v>
      </c>
      <c r="C29" s="14">
        <f>(2225/B29*100)</f>
        <v>82.86778398510242</v>
      </c>
      <c r="D29" s="15">
        <v>460</v>
      </c>
      <c r="E29" s="14">
        <v>25.651447699999999</v>
      </c>
      <c r="F29" s="16">
        <v>2.1333703900000001</v>
      </c>
      <c r="G29" s="14">
        <v>30.391507539999999</v>
      </c>
      <c r="H29" s="16">
        <v>2.0874627700000001</v>
      </c>
      <c r="I29" s="14">
        <v>43.957044760000002</v>
      </c>
      <c r="J29" s="16">
        <v>2.0215569200000001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(1865/B30*100)</f>
        <v>82.412726469288557</v>
      </c>
      <c r="D30" s="15">
        <v>398</v>
      </c>
      <c r="E30" s="14">
        <v>27.135220589999999</v>
      </c>
      <c r="F30" s="16">
        <v>2.0756445700000001</v>
      </c>
      <c r="G30" s="14">
        <v>25.82179554</v>
      </c>
      <c r="H30" s="16">
        <v>2.36519843</v>
      </c>
      <c r="I30" s="14">
        <v>47.042983880000001</v>
      </c>
      <c r="J30" s="16">
        <v>2.82998539</v>
      </c>
      <c r="K30" s="14" t="s">
        <v>139</v>
      </c>
      <c r="L30" s="16" t="s">
        <v>139</v>
      </c>
      <c r="M30" s="14">
        <v>0</v>
      </c>
      <c r="N30" s="16">
        <v>0</v>
      </c>
      <c r="O30" s="14">
        <v>0</v>
      </c>
      <c r="P30" s="16">
        <v>0</v>
      </c>
      <c r="Q30" s="14">
        <v>0</v>
      </c>
      <c r="R30" s="16">
        <v>0</v>
      </c>
      <c r="S30" s="14">
        <v>0</v>
      </c>
      <c r="T30" s="16">
        <v>0</v>
      </c>
    </row>
    <row r="31" spans="1:20" x14ac:dyDescent="0.25">
      <c r="A31" s="11" t="s">
        <v>164</v>
      </c>
      <c r="B31" s="13">
        <v>2750</v>
      </c>
      <c r="C31" s="14">
        <f>(2266/B31*100)</f>
        <v>82.399999999999991</v>
      </c>
      <c r="D31" s="15">
        <v>484</v>
      </c>
      <c r="E31" s="14">
        <v>25.56701176</v>
      </c>
      <c r="F31" s="16">
        <v>1.8817138499999999</v>
      </c>
      <c r="G31" s="14">
        <v>36.538065000000003</v>
      </c>
      <c r="H31" s="16">
        <v>2.1045851899999999</v>
      </c>
      <c r="I31" s="14">
        <v>37.894923230000003</v>
      </c>
      <c r="J31" s="16">
        <v>2.0068103800000001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(3037/B33*100)</f>
        <v>82.661948829613493</v>
      </c>
      <c r="D33" s="15">
        <v>637</v>
      </c>
      <c r="E33" s="14">
        <v>32.737249490000004</v>
      </c>
      <c r="F33" s="16">
        <v>2.16281861</v>
      </c>
      <c r="G33" s="14">
        <v>28.647821610000001</v>
      </c>
      <c r="H33" s="16">
        <v>2.1670807399999998</v>
      </c>
      <c r="I33" s="14">
        <v>38.614928900000002</v>
      </c>
      <c r="J33" s="16">
        <v>2.2069188500000001</v>
      </c>
      <c r="K33" s="14" t="s">
        <v>139</v>
      </c>
      <c r="L33" s="16" t="s">
        <v>139</v>
      </c>
      <c r="M33" s="14">
        <v>0</v>
      </c>
      <c r="N33" s="16">
        <v>0</v>
      </c>
      <c r="O33" s="14">
        <v>0</v>
      </c>
      <c r="P33" s="16">
        <v>0</v>
      </c>
      <c r="Q33" s="14">
        <v>0</v>
      </c>
      <c r="R33" s="16">
        <v>0</v>
      </c>
      <c r="S33" s="14">
        <v>0</v>
      </c>
      <c r="T33" s="16">
        <v>0</v>
      </c>
    </row>
    <row r="34" spans="1:20" x14ac:dyDescent="0.25">
      <c r="A34" s="11" t="s">
        <v>167</v>
      </c>
      <c r="B34" s="13">
        <v>3315</v>
      </c>
      <c r="C34" s="14">
        <f>(2745/B34*100)</f>
        <v>82.805429864253384</v>
      </c>
      <c r="D34" s="15">
        <v>570</v>
      </c>
      <c r="E34" s="14">
        <v>32.98647107</v>
      </c>
      <c r="F34" s="16">
        <v>1.8630755999999999</v>
      </c>
      <c r="G34" s="14">
        <v>32.280142619999999</v>
      </c>
      <c r="H34" s="16">
        <v>1.8658718299999999</v>
      </c>
      <c r="I34" s="14">
        <v>34.73338631</v>
      </c>
      <c r="J34" s="16">
        <v>2.0607041100000001</v>
      </c>
      <c r="K34" s="14" t="s">
        <v>139</v>
      </c>
      <c r="L34" s="16" t="s">
        <v>139</v>
      </c>
      <c r="M34" s="14">
        <v>0</v>
      </c>
      <c r="N34" s="16">
        <v>0</v>
      </c>
      <c r="O34" s="14">
        <v>0</v>
      </c>
      <c r="P34" s="16">
        <v>0</v>
      </c>
      <c r="Q34" s="14">
        <v>0</v>
      </c>
      <c r="R34" s="16">
        <v>0</v>
      </c>
      <c r="S34" s="14">
        <v>0</v>
      </c>
      <c r="T34" s="16">
        <v>0</v>
      </c>
    </row>
    <row r="35" spans="1:20" x14ac:dyDescent="0.25">
      <c r="A35" s="11" t="s">
        <v>168</v>
      </c>
      <c r="B35" s="13">
        <v>3505</v>
      </c>
      <c r="C35" s="14">
        <f>(2911/B35*100)</f>
        <v>83.052781740370889</v>
      </c>
      <c r="D35" s="15">
        <v>594</v>
      </c>
      <c r="E35" s="14">
        <v>30.719248220000001</v>
      </c>
      <c r="F35" s="16">
        <v>2.19487509</v>
      </c>
      <c r="G35" s="14">
        <v>31.209369970000001</v>
      </c>
      <c r="H35" s="16">
        <v>2.5698863599999999</v>
      </c>
      <c r="I35" s="14">
        <v>38.071381809999998</v>
      </c>
      <c r="J35" s="16">
        <v>2.1674821899999999</v>
      </c>
      <c r="K35" s="14" t="s">
        <v>139</v>
      </c>
      <c r="L35" s="16" t="s">
        <v>139</v>
      </c>
      <c r="M35" s="14">
        <v>0</v>
      </c>
      <c r="N35" s="16">
        <v>0</v>
      </c>
      <c r="O35" s="14">
        <v>0</v>
      </c>
      <c r="P35" s="16">
        <v>0</v>
      </c>
      <c r="Q35" s="14">
        <v>0</v>
      </c>
      <c r="R35" s="16">
        <v>0</v>
      </c>
      <c r="S35" s="14">
        <v>0</v>
      </c>
      <c r="T35" s="16">
        <v>0</v>
      </c>
    </row>
    <row r="36" spans="1:20" x14ac:dyDescent="0.25">
      <c r="A36" s="11" t="s">
        <v>169</v>
      </c>
      <c r="B36" s="13">
        <v>3332</v>
      </c>
      <c r="C36" s="14">
        <f>(2772/B36*100)</f>
        <v>83.193277310924373</v>
      </c>
      <c r="D36" s="15">
        <v>560</v>
      </c>
      <c r="E36" s="14">
        <v>33.66210057</v>
      </c>
      <c r="F36" s="16">
        <v>1.9813189200000001</v>
      </c>
      <c r="G36" s="14">
        <v>32.727104750000002</v>
      </c>
      <c r="H36" s="16">
        <v>1.99991005</v>
      </c>
      <c r="I36" s="14">
        <v>33.610794679999998</v>
      </c>
      <c r="J36" s="16">
        <v>2.06488571</v>
      </c>
      <c r="K36" s="14" t="s">
        <v>139</v>
      </c>
      <c r="L36" s="16" t="s">
        <v>139</v>
      </c>
      <c r="M36" s="14">
        <v>0</v>
      </c>
      <c r="N36" s="16">
        <v>0</v>
      </c>
      <c r="O36" s="14">
        <v>0</v>
      </c>
      <c r="P36" s="16">
        <v>0</v>
      </c>
      <c r="Q36" s="14">
        <v>0</v>
      </c>
      <c r="R36" s="16">
        <v>0</v>
      </c>
      <c r="S36" s="14">
        <v>0</v>
      </c>
      <c r="T36" s="16">
        <v>0</v>
      </c>
    </row>
    <row r="37" spans="1:20" x14ac:dyDescent="0.25">
      <c r="A37" s="11" t="s">
        <v>170</v>
      </c>
      <c r="B37" s="13">
        <v>2727</v>
      </c>
      <c r="C37" s="14">
        <f>(2243/B37*100)</f>
        <v>82.251558489182258</v>
      </c>
      <c r="D37" s="15">
        <v>484</v>
      </c>
      <c r="E37" s="14">
        <v>29.65849656</v>
      </c>
      <c r="F37" s="16">
        <v>2.0037123499999998</v>
      </c>
      <c r="G37" s="14">
        <v>32.735917489999999</v>
      </c>
      <c r="H37" s="16">
        <v>2.0165695100000001</v>
      </c>
      <c r="I37" s="14">
        <v>37.605585949999998</v>
      </c>
      <c r="J37" s="16">
        <v>2.2514615299999998</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(2437/B39*100)</f>
        <v>82.414609401420364</v>
      </c>
      <c r="D39" s="15">
        <v>520</v>
      </c>
      <c r="E39" s="14">
        <v>46.288173780000001</v>
      </c>
      <c r="F39" s="16">
        <v>2.9294170500000001</v>
      </c>
      <c r="G39" s="14">
        <v>38.035741039999998</v>
      </c>
      <c r="H39" s="16">
        <v>2.9851401900000001</v>
      </c>
      <c r="I39" s="14">
        <v>15.676085179999999</v>
      </c>
      <c r="J39" s="16">
        <v>2.2823511500000002</v>
      </c>
      <c r="K39" s="14" t="s">
        <v>139</v>
      </c>
      <c r="L39" s="16" t="s">
        <v>139</v>
      </c>
      <c r="M39" s="14">
        <v>0</v>
      </c>
      <c r="N39" s="16">
        <v>0</v>
      </c>
      <c r="O39" s="14">
        <v>0</v>
      </c>
      <c r="P39" s="16">
        <v>0</v>
      </c>
      <c r="Q39" s="14">
        <v>0</v>
      </c>
      <c r="R39" s="16">
        <v>0</v>
      </c>
      <c r="S39" s="14">
        <v>0</v>
      </c>
      <c r="T39" s="16">
        <v>0</v>
      </c>
    </row>
    <row r="40" spans="1:20" x14ac:dyDescent="0.25">
      <c r="A40" s="11" t="s">
        <v>173</v>
      </c>
      <c r="B40" s="13">
        <v>7235</v>
      </c>
      <c r="C40" s="14">
        <f>(5959/B40*100)</f>
        <v>82.363510711817554</v>
      </c>
      <c r="D40" s="15">
        <v>1276</v>
      </c>
      <c r="E40" s="14">
        <v>28.676316320000002</v>
      </c>
      <c r="F40" s="16">
        <v>1.9920588100000001</v>
      </c>
      <c r="G40" s="14">
        <v>32.715645049999999</v>
      </c>
      <c r="H40" s="16">
        <v>2.0853708000000002</v>
      </c>
      <c r="I40" s="14">
        <v>38.608038630000003</v>
      </c>
      <c r="J40" s="16">
        <v>2.0053013800000001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(2360/B41*100)</f>
        <v>82.575227431770472</v>
      </c>
      <c r="D41" s="15">
        <v>498</v>
      </c>
      <c r="E41" s="14">
        <v>29.315378819999999</v>
      </c>
      <c r="F41" s="16">
        <v>2.2150292700000001</v>
      </c>
      <c r="G41" s="14">
        <v>30.45015738</v>
      </c>
      <c r="H41" s="16">
        <v>2.3691863099999999</v>
      </c>
      <c r="I41" s="14">
        <v>40.2344638</v>
      </c>
      <c r="J41" s="16">
        <v>2.1146327299999998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82.822067719239655</v>
      </c>
      <c r="D42" s="15">
        <f>IF(COUNT(D7:D41) &gt; 0, AVERAGE(D7:D41), "—")</f>
        <v>627.28125</v>
      </c>
      <c r="E42" s="14">
        <f>IF(COUNT(E7:E41) &gt; 0, AVERAGE(E7:E41), "—")</f>
        <v>30.532574289687496</v>
      </c>
      <c r="F42" s="16">
        <f>IF(COUNT(F7:F41) &gt; 0, SQRT(SUMSQ(F7:F41)/(COUNT(F7:F41)*COUNT(F7:F41)) ), "—")</f>
        <v>0.38222179448225024</v>
      </c>
      <c r="G42" s="14">
        <f>IF(COUNT(G7:G41) &gt; 0, AVERAGE(G7:G41), "—")</f>
        <v>31.239402330624994</v>
      </c>
      <c r="H42" s="16">
        <f>IF(COUNT(H7:H41) &gt; 0, SQRT(SUMSQ(H7:H41)/(COUNT(H7:H41)*COUNT(H7:H41)) ), "—")</f>
        <v>0.38987156897558956</v>
      </c>
      <c r="I42" s="14">
        <f>IF(COUNT(I7:I41) &gt; 0, AVERAGE(I7:I41), "—")</f>
        <v>38.228023380937493</v>
      </c>
      <c r="J42" s="16">
        <f>IF(COUNT(J7:J41) &gt; 0, SQRT(SUMSQ(J7:J41)/(COUNT(J7:J41)*COUNT(J7:J41)) ), "—")</f>
        <v>0.40027056511247616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(9349/B46*100)</f>
        <v>84.468738706179977</v>
      </c>
      <c r="D46" s="15">
        <v>1719</v>
      </c>
      <c r="E46" s="14">
        <v>43.164868740000003</v>
      </c>
      <c r="F46" s="16">
        <v>1.4693419700000001</v>
      </c>
      <c r="G46" s="14">
        <v>33.391410780000001</v>
      </c>
      <c r="H46" s="16">
        <v>1.6378447199999999</v>
      </c>
      <c r="I46" s="14">
        <v>23.44372048</v>
      </c>
      <c r="J46" s="16">
        <v>1.3423799199999999</v>
      </c>
      <c r="K46" s="14" t="s">
        <v>139</v>
      </c>
      <c r="L46" s="16" t="s">
        <v>139</v>
      </c>
      <c r="M46" s="14">
        <v>0</v>
      </c>
      <c r="N46" s="16">
        <v>0</v>
      </c>
      <c r="O46" s="14">
        <v>0</v>
      </c>
      <c r="P46" s="16">
        <v>0</v>
      </c>
      <c r="Q46" s="14">
        <v>0</v>
      </c>
      <c r="R46" s="16">
        <v>0</v>
      </c>
      <c r="S46" s="14">
        <v>0</v>
      </c>
      <c r="T46" s="16">
        <v>0</v>
      </c>
    </row>
    <row r="47" spans="1:20" x14ac:dyDescent="0.25">
      <c r="A47" s="11" t="s">
        <v>180</v>
      </c>
      <c r="B47" s="13">
        <v>3105</v>
      </c>
      <c r="C47" s="14">
        <f>(2577/B47*100)</f>
        <v>82.995169082125614</v>
      </c>
      <c r="D47" s="15">
        <v>528</v>
      </c>
      <c r="E47" s="14">
        <v>42.421902899999999</v>
      </c>
      <c r="F47" s="16">
        <v>2.1230418900000001</v>
      </c>
      <c r="G47" s="14">
        <v>32.712822420000002</v>
      </c>
      <c r="H47" s="16">
        <v>1.93204661</v>
      </c>
      <c r="I47" s="14">
        <v>24.865274679999999</v>
      </c>
      <c r="J47" s="16">
        <v>1.86896434</v>
      </c>
      <c r="K47" s="14" t="s">
        <v>139</v>
      </c>
      <c r="L47" s="16" t="s">
        <v>139</v>
      </c>
      <c r="M47" s="14">
        <v>0</v>
      </c>
      <c r="N47" s="16">
        <v>0</v>
      </c>
      <c r="O47" s="14">
        <v>0</v>
      </c>
      <c r="P47" s="16">
        <v>0</v>
      </c>
      <c r="Q47" s="14">
        <v>0</v>
      </c>
      <c r="R47" s="16">
        <v>0</v>
      </c>
      <c r="S47" s="14">
        <v>0</v>
      </c>
      <c r="T47" s="16">
        <v>0</v>
      </c>
    </row>
    <row r="48" spans="1:20" x14ac:dyDescent="0.25">
      <c r="A48" s="11" t="s">
        <v>181</v>
      </c>
      <c r="B48" s="13">
        <v>5159</v>
      </c>
      <c r="C48" s="14">
        <f>(4244/B48*100)</f>
        <v>82.264004652064344</v>
      </c>
      <c r="D48" s="15">
        <v>915</v>
      </c>
      <c r="E48" s="14">
        <v>38.177244590000001</v>
      </c>
      <c r="F48" s="16">
        <v>2.15584379</v>
      </c>
      <c r="G48" s="14">
        <v>39.907670070000002</v>
      </c>
      <c r="H48" s="16">
        <v>2.0201212700000002</v>
      </c>
      <c r="I48" s="14">
        <v>21.915085340000001</v>
      </c>
      <c r="J48" s="16">
        <v>1.83095816</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(4680/B50*100)</f>
        <v>83.022884513038846</v>
      </c>
      <c r="D50" s="15">
        <v>957</v>
      </c>
      <c r="E50" s="14">
        <v>32.285439250000003</v>
      </c>
      <c r="F50" s="16">
        <v>1.8607776199999999</v>
      </c>
      <c r="G50" s="14">
        <v>35.813315000000003</v>
      </c>
      <c r="H50" s="16">
        <v>2.1022088700000001</v>
      </c>
      <c r="I50" s="14">
        <v>31.901245750000001</v>
      </c>
      <c r="J50" s="16">
        <v>1.9930680999999999</v>
      </c>
      <c r="K50" s="14" t="s">
        <v>139</v>
      </c>
      <c r="L50" s="16" t="s">
        <v>139</v>
      </c>
      <c r="M50" s="14">
        <v>0</v>
      </c>
      <c r="N50" s="16">
        <v>0</v>
      </c>
      <c r="O50" s="14">
        <v>0</v>
      </c>
      <c r="P50" s="16">
        <v>0</v>
      </c>
      <c r="Q50" s="14">
        <v>0</v>
      </c>
      <c r="R50" s="16">
        <v>0</v>
      </c>
      <c r="S50" s="14">
        <v>0</v>
      </c>
      <c r="T50" s="16">
        <v>0</v>
      </c>
    </row>
    <row r="51" spans="1:20" x14ac:dyDescent="0.25">
      <c r="A51" s="11" t="s">
        <v>184</v>
      </c>
      <c r="B51" s="13">
        <v>3372</v>
      </c>
      <c r="C51" s="14">
        <f>(2861/B51*100)</f>
        <v>84.845788849347571</v>
      </c>
      <c r="D51" s="15">
        <v>511</v>
      </c>
      <c r="E51" s="14">
        <v>41.910764899999997</v>
      </c>
      <c r="F51" s="16">
        <v>2.2523534700000001</v>
      </c>
      <c r="G51" s="14">
        <v>30.86553391</v>
      </c>
      <c r="H51" s="16">
        <v>1.90987145</v>
      </c>
      <c r="I51" s="14">
        <v>27.223701200000001</v>
      </c>
      <c r="J51" s="16">
        <v>2.0461822700000001</v>
      </c>
      <c r="K51" s="14" t="s">
        <v>139</v>
      </c>
      <c r="L51" s="16" t="s">
        <v>139</v>
      </c>
      <c r="M51" s="14">
        <v>0</v>
      </c>
      <c r="N51" s="16">
        <v>0</v>
      </c>
      <c r="O51" s="14">
        <v>0</v>
      </c>
      <c r="P51" s="16">
        <v>0</v>
      </c>
      <c r="Q51" s="14">
        <v>0</v>
      </c>
      <c r="R51" s="16">
        <v>0</v>
      </c>
      <c r="S51" s="14">
        <v>0</v>
      </c>
      <c r="T51" s="16">
        <v>0</v>
      </c>
    </row>
    <row r="52" spans="1:20" x14ac:dyDescent="0.25">
      <c r="A52" s="11" t="s">
        <v>185</v>
      </c>
      <c r="B52" s="13">
        <v>2796</v>
      </c>
      <c r="C52" s="14">
        <f>(2338/B52*100)</f>
        <v>83.619456366237472</v>
      </c>
      <c r="D52" s="15">
        <v>458</v>
      </c>
      <c r="E52" s="14">
        <v>43.085801580000002</v>
      </c>
      <c r="F52" s="16">
        <v>2.3659896100000002</v>
      </c>
      <c r="G52" s="14">
        <v>28.901620269999999</v>
      </c>
      <c r="H52" s="16">
        <v>1.73299303</v>
      </c>
      <c r="I52" s="14">
        <v>28.01257816</v>
      </c>
      <c r="J52" s="16">
        <v>2.0895246099999998</v>
      </c>
      <c r="K52" s="14" t="s">
        <v>139</v>
      </c>
      <c r="L52" s="16" t="s">
        <v>139</v>
      </c>
      <c r="M52" s="14">
        <v>0</v>
      </c>
      <c r="N52" s="16">
        <v>0</v>
      </c>
      <c r="O52" s="14">
        <v>0</v>
      </c>
      <c r="P52" s="16">
        <v>0</v>
      </c>
      <c r="Q52" s="14">
        <v>0</v>
      </c>
      <c r="R52" s="16">
        <v>0</v>
      </c>
      <c r="S52" s="14">
        <v>0</v>
      </c>
      <c r="T52" s="16">
        <v>0</v>
      </c>
    </row>
    <row r="53" spans="1:20" x14ac:dyDescent="0.25">
      <c r="A53" s="11" t="s">
        <v>186</v>
      </c>
      <c r="B53" s="13">
        <v>2811</v>
      </c>
      <c r="C53" s="14">
        <f>(2312/B53*100)</f>
        <v>82.248310209889723</v>
      </c>
      <c r="D53" s="15">
        <v>499</v>
      </c>
      <c r="E53" s="14">
        <v>43.875791540000002</v>
      </c>
      <c r="F53" s="16">
        <v>1.93341523</v>
      </c>
      <c r="G53" s="14">
        <v>35.515728670000001</v>
      </c>
      <c r="H53" s="16">
        <v>1.97556486</v>
      </c>
      <c r="I53" s="14">
        <v>20.608479790000001</v>
      </c>
      <c r="J53" s="16">
        <v>1.72097864</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(2212/B56*100)</f>
        <v>82.414307004470942</v>
      </c>
      <c r="D56" s="15">
        <v>472</v>
      </c>
      <c r="E56" s="14">
        <v>36.513503049999997</v>
      </c>
      <c r="F56" s="16">
        <v>2.0195348000000002</v>
      </c>
      <c r="G56" s="14">
        <v>34.545312989999999</v>
      </c>
      <c r="H56" s="16">
        <v>1.9535631099999999</v>
      </c>
      <c r="I56" s="14">
        <v>28.94118396</v>
      </c>
      <c r="J56" s="16">
        <v>1.8428813799999999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(2763/B61*100)</f>
        <v>83.122743682310471</v>
      </c>
      <c r="D61" s="15">
        <v>561</v>
      </c>
      <c r="E61" s="14">
        <v>35.387005219999999</v>
      </c>
      <c r="F61" s="16">
        <v>2.15291598</v>
      </c>
      <c r="G61" s="14">
        <v>37.804246310000003</v>
      </c>
      <c r="H61" s="16">
        <v>2.5407007199999998</v>
      </c>
      <c r="I61" s="14">
        <v>26.80874846</v>
      </c>
      <c r="J61" s="16">
        <v>1.9439239100000001</v>
      </c>
      <c r="K61" s="14" t="s">
        <v>139</v>
      </c>
      <c r="L61" s="16" t="s">
        <v>139</v>
      </c>
      <c r="M61" s="14">
        <v>0</v>
      </c>
      <c r="N61" s="16">
        <v>0</v>
      </c>
      <c r="O61" s="14">
        <v>0</v>
      </c>
      <c r="P61" s="16">
        <v>0</v>
      </c>
      <c r="Q61" s="14">
        <v>0</v>
      </c>
      <c r="R61" s="16">
        <v>0</v>
      </c>
      <c r="S61" s="14">
        <v>0</v>
      </c>
      <c r="T61" s="16">
        <v>0</v>
      </c>
    </row>
    <row r="62" spans="1:20" x14ac:dyDescent="0.25">
      <c r="A62" s="11" t="s">
        <v>195</v>
      </c>
      <c r="B62" s="13">
        <v>2246</v>
      </c>
      <c r="C62" s="14">
        <f>(1871/B62*100)</f>
        <v>83.303650934995545</v>
      </c>
      <c r="D62" s="15">
        <v>375</v>
      </c>
      <c r="E62" s="14">
        <v>39.222804310000001</v>
      </c>
      <c r="F62" s="16">
        <v>2.3039246900000001</v>
      </c>
      <c r="G62" s="14">
        <v>37.572968959999997</v>
      </c>
      <c r="H62" s="16">
        <v>2.4517799</v>
      </c>
      <c r="I62" s="14">
        <v>23.204226729999998</v>
      </c>
      <c r="J62" s="16">
        <v>1.9795525300000001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(2405/B66*100)</f>
        <v>83.102971665514858</v>
      </c>
      <c r="D66" s="15">
        <v>489</v>
      </c>
      <c r="E66" s="14">
        <v>46.051908439999998</v>
      </c>
      <c r="F66" s="16">
        <v>2.2280756899999998</v>
      </c>
      <c r="G66" s="14">
        <v>31.337807770000001</v>
      </c>
      <c r="H66" s="16">
        <v>2.1838660600000002</v>
      </c>
      <c r="I66" s="14">
        <v>22.61028379</v>
      </c>
      <c r="J66" s="16">
        <v>1.8826962899999999</v>
      </c>
      <c r="K66" s="14" t="s">
        <v>139</v>
      </c>
      <c r="L66" s="16" t="s">
        <v>139</v>
      </c>
      <c r="M66" s="14">
        <v>0</v>
      </c>
      <c r="N66" s="16">
        <v>0</v>
      </c>
      <c r="O66" s="14">
        <v>0</v>
      </c>
      <c r="P66" s="16">
        <v>0</v>
      </c>
      <c r="Q66" s="14">
        <v>0</v>
      </c>
      <c r="R66" s="16">
        <v>0</v>
      </c>
      <c r="S66" s="14">
        <v>0</v>
      </c>
      <c r="T66" s="16">
        <v>0</v>
      </c>
    </row>
    <row r="67" spans="1:20" x14ac:dyDescent="0.25">
      <c r="A67" s="11" t="s">
        <v>200</v>
      </c>
      <c r="B67" s="13">
        <v>3511</v>
      </c>
      <c r="C67" s="14">
        <f>(2908/B67*100)</f>
        <v>82.825405867274284</v>
      </c>
      <c r="D67" s="15">
        <v>603</v>
      </c>
      <c r="E67" s="14">
        <v>44.272296269999998</v>
      </c>
      <c r="F67" s="16">
        <v>2.28196274</v>
      </c>
      <c r="G67" s="14">
        <v>32.615429030000001</v>
      </c>
      <c r="H67" s="16">
        <v>2.0453807300000002</v>
      </c>
      <c r="I67" s="14">
        <v>23.1122747</v>
      </c>
      <c r="J67" s="16">
        <v>2.0970602399999998</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(2427/B70*100)</f>
        <v>82.861044725162174</v>
      </c>
      <c r="D70" s="15">
        <v>502</v>
      </c>
      <c r="E70" s="14">
        <v>31.434599389999999</v>
      </c>
      <c r="F70" s="16">
        <v>2.8582814700000001</v>
      </c>
      <c r="G70" s="14">
        <v>32.996525009999999</v>
      </c>
      <c r="H70" s="16">
        <v>2.5546064400000001</v>
      </c>
      <c r="I70" s="14">
        <v>35.568875599999998</v>
      </c>
      <c r="J70" s="16">
        <v>2.4609831999999998</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(3224/B72*100)</f>
        <v>82.900488557469785</v>
      </c>
      <c r="D72" s="15">
        <v>665</v>
      </c>
      <c r="E72" s="14">
        <v>35.426846089999998</v>
      </c>
      <c r="F72" s="16">
        <v>1.96415542</v>
      </c>
      <c r="G72" s="14">
        <v>35.958332570000003</v>
      </c>
      <c r="H72" s="16">
        <v>1.8663551899999999</v>
      </c>
      <c r="I72" s="14">
        <v>28.614821339999999</v>
      </c>
      <c r="J72" s="16">
        <v>1.9730388000000001</v>
      </c>
      <c r="K72" s="14" t="s">
        <v>139</v>
      </c>
      <c r="L72" s="16" t="s">
        <v>139</v>
      </c>
      <c r="M72" s="14">
        <v>0</v>
      </c>
      <c r="N72" s="16">
        <v>0</v>
      </c>
      <c r="O72" s="14">
        <v>0</v>
      </c>
      <c r="P72" s="16">
        <v>0</v>
      </c>
      <c r="Q72" s="14">
        <v>0</v>
      </c>
      <c r="R72" s="16">
        <v>0</v>
      </c>
      <c r="S72" s="14">
        <v>0</v>
      </c>
      <c r="T72" s="16">
        <v>0</v>
      </c>
    </row>
    <row r="73" spans="1:20" x14ac:dyDescent="0.25">
      <c r="A73" s="11" t="s">
        <v>206</v>
      </c>
      <c r="B73" s="13">
        <v>3597</v>
      </c>
      <c r="C73" s="14">
        <f>(2988/B73*100)</f>
        <v>83.06922435362803</v>
      </c>
      <c r="D73" s="15">
        <v>609</v>
      </c>
      <c r="E73" s="14">
        <v>46.128102290000001</v>
      </c>
      <c r="F73" s="16">
        <v>3.0928935200000001</v>
      </c>
      <c r="G73" s="14">
        <v>34.66896595</v>
      </c>
      <c r="H73" s="16">
        <v>2.6078275400000002</v>
      </c>
      <c r="I73" s="14">
        <v>19.202931750000001</v>
      </c>
      <c r="J73" s="16">
        <v>2.4655847099999999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(2035/B75*100)</f>
        <v>84.580216126350791</v>
      </c>
      <c r="D75" s="15">
        <v>371</v>
      </c>
      <c r="E75" s="14">
        <v>54.102753</v>
      </c>
      <c r="F75" s="16">
        <v>2.7142847400000001</v>
      </c>
      <c r="G75" s="14">
        <v>31.443350200000001</v>
      </c>
      <c r="H75" s="16">
        <v>2.4475466300000002</v>
      </c>
      <c r="I75" s="14">
        <v>14.453896800000001</v>
      </c>
      <c r="J75" s="16">
        <v>1.71149928</v>
      </c>
      <c r="K75" s="14" t="s">
        <v>139</v>
      </c>
      <c r="L75" s="16" t="s">
        <v>139</v>
      </c>
      <c r="M75" s="14">
        <v>0</v>
      </c>
      <c r="N75" s="16">
        <v>0</v>
      </c>
      <c r="O75" s="14">
        <v>0</v>
      </c>
      <c r="P75" s="16">
        <v>0</v>
      </c>
      <c r="Q75" s="14">
        <v>0</v>
      </c>
      <c r="R75" s="16">
        <v>0</v>
      </c>
      <c r="S75" s="14">
        <v>0</v>
      </c>
      <c r="T75" s="16">
        <v>0</v>
      </c>
    </row>
    <row r="76" spans="1:20" x14ac:dyDescent="0.25">
      <c r="A76" s="11" t="s">
        <v>209</v>
      </c>
      <c r="B76" s="13">
        <v>7052</v>
      </c>
      <c r="C76" s="14">
        <f>(5835/B76*100)</f>
        <v>82.7424844015882</v>
      </c>
      <c r="D76" s="15">
        <v>1217</v>
      </c>
      <c r="E76" s="14">
        <v>44.91121399</v>
      </c>
      <c r="F76" s="16">
        <v>1.89122225</v>
      </c>
      <c r="G76" s="14">
        <v>30.533367519999999</v>
      </c>
      <c r="H76" s="16">
        <v>1.53641535</v>
      </c>
      <c r="I76" s="14">
        <v>24.555418499999998</v>
      </c>
      <c r="J76" s="16">
        <v>1.3641071300000001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(2400/B77*100)</f>
        <v>82.530949105914715</v>
      </c>
      <c r="D77" s="15">
        <v>508</v>
      </c>
      <c r="E77" s="14">
        <v>43.914132719999998</v>
      </c>
      <c r="F77" s="16">
        <v>2.1879843299999999</v>
      </c>
      <c r="G77" s="14">
        <v>30.267027980000002</v>
      </c>
      <c r="H77" s="16">
        <v>2.0586496200000002</v>
      </c>
      <c r="I77" s="14">
        <v>25.8188393</v>
      </c>
      <c r="J77" s="16">
        <v>1.7027493300000001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(3463/B81*100)</f>
        <v>83.185202978621192</v>
      </c>
      <c r="D81" s="15">
        <v>700</v>
      </c>
      <c r="E81" s="14">
        <v>43.581298369999999</v>
      </c>
      <c r="F81" s="16">
        <v>2.4970442099999999</v>
      </c>
      <c r="G81" s="14">
        <v>36.140262190000001</v>
      </c>
      <c r="H81" s="16">
        <v>2.42402798</v>
      </c>
      <c r="I81" s="14">
        <v>20.27843944</v>
      </c>
      <c r="J81" s="16">
        <v>1.92608044</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259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74.501716430000002</v>
      </c>
      <c r="F7" s="16">
        <v>1.35126681</v>
      </c>
      <c r="G7" s="14">
        <v>25.498283570000002</v>
      </c>
      <c r="H7" s="16">
        <v>1.35126681</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72.547711280000001</v>
      </c>
      <c r="F8" s="16">
        <v>1.90093267</v>
      </c>
      <c r="G8" s="14">
        <v>27.452288719999999</v>
      </c>
      <c r="H8" s="16">
        <v>1.90093267</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64.375078689999995</v>
      </c>
      <c r="F9" s="16">
        <v>1.65713534</v>
      </c>
      <c r="G9" s="14">
        <v>35.624921309999998</v>
      </c>
      <c r="H9" s="16">
        <v>1.65713534</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74.726640540000005</v>
      </c>
      <c r="F10" s="16">
        <v>1.31361331</v>
      </c>
      <c r="G10" s="14">
        <v>25.273359460000002</v>
      </c>
      <c r="H10" s="16">
        <v>1.31361331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83.825879029999996</v>
      </c>
      <c r="F11" s="16">
        <v>1.6600404200000001</v>
      </c>
      <c r="G11" s="14">
        <v>16.174120970000001</v>
      </c>
      <c r="H11" s="16">
        <v>1.6600404200000001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73.933636419999999</v>
      </c>
      <c r="F12" s="16">
        <v>1.96692238</v>
      </c>
      <c r="G12" s="14">
        <v>26.066363580000001</v>
      </c>
      <c r="H12" s="16">
        <v>1.96692238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66.613967009999996</v>
      </c>
      <c r="F13" s="16">
        <v>2.62036026</v>
      </c>
      <c r="G13" s="14">
        <v>33.386032989999997</v>
      </c>
      <c r="H13" s="16">
        <v>2.62036026</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70.391875459999994</v>
      </c>
      <c r="F14" s="16">
        <v>2.2058007100000001</v>
      </c>
      <c r="G14" s="14">
        <v>29.608124539999999</v>
      </c>
      <c r="H14" s="16">
        <v>2.2058007100000001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65.821481039999995</v>
      </c>
      <c r="F15" s="16">
        <v>1.83420435</v>
      </c>
      <c r="G15" s="14">
        <v>34.178518959999998</v>
      </c>
      <c r="H15" s="16">
        <v>1.83420435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59.831592520000001</v>
      </c>
      <c r="F16" s="16">
        <v>2.1777596400000001</v>
      </c>
      <c r="G16" s="14">
        <v>40.168407479999999</v>
      </c>
      <c r="H16" s="16">
        <v>2.1777596400000001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76.446808559999994</v>
      </c>
      <c r="F17" s="16">
        <v>1.7988215999999999</v>
      </c>
      <c r="G17" s="14">
        <v>23.553191439999999</v>
      </c>
      <c r="H17" s="16">
        <v>1.7988215999999999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68.771364419999998</v>
      </c>
      <c r="F18" s="16">
        <v>2.1376387000000001</v>
      </c>
      <c r="G18" s="14">
        <v>31.228635579999999</v>
      </c>
      <c r="H18" s="16">
        <v>2.1376387000000001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66.727412099999995</v>
      </c>
      <c r="F19" s="16">
        <v>2.19225439</v>
      </c>
      <c r="G19" s="14">
        <v>33.272587899999998</v>
      </c>
      <c r="H19" s="16">
        <v>2.19225439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76.681537989999995</v>
      </c>
      <c r="F20" s="16">
        <v>2.76540214</v>
      </c>
      <c r="G20" s="14">
        <v>23.318462010000001</v>
      </c>
      <c r="H20" s="16">
        <v>2.76540214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62.52410373</v>
      </c>
      <c r="F22" s="16">
        <v>2.95847317</v>
      </c>
      <c r="G22" s="14">
        <v>37.47589627</v>
      </c>
      <c r="H22" s="16">
        <v>2.95847317</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72.397117980000004</v>
      </c>
      <c r="F23" s="16">
        <v>1.95065869</v>
      </c>
      <c r="G23" s="14">
        <v>27.602882019999999</v>
      </c>
      <c r="H23" s="16">
        <v>1.95065869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47.583476869999998</v>
      </c>
      <c r="F24" s="16">
        <v>2.2044234600000001</v>
      </c>
      <c r="G24" s="14">
        <v>52.416523130000002</v>
      </c>
      <c r="H24" s="16">
        <v>2.2044234600000001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64.311301490000005</v>
      </c>
      <c r="F25" s="16">
        <v>2.17756879</v>
      </c>
      <c r="G25" s="14">
        <v>35.688698510000002</v>
      </c>
      <c r="H25" s="16">
        <v>2.17756879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74.958008980000002</v>
      </c>
      <c r="F26" s="16">
        <v>2.0706409099999998</v>
      </c>
      <c r="G26" s="14">
        <v>25.041991020000001</v>
      </c>
      <c r="H26" s="16">
        <v>2.0706409099999998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71.352751080000004</v>
      </c>
      <c r="F27" s="16">
        <v>2.0069261599999999</v>
      </c>
      <c r="G27" s="14">
        <v>28.647248919999999</v>
      </c>
      <c r="H27" s="16">
        <v>2.0069261599999999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76.781160040000003</v>
      </c>
      <c r="F28" s="16">
        <v>1.8963780699999999</v>
      </c>
      <c r="G28" s="14">
        <v>23.21883996</v>
      </c>
      <c r="H28" s="16">
        <v>1.8963780699999999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68.649955039999995</v>
      </c>
      <c r="F29" s="16">
        <v>2.08032058</v>
      </c>
      <c r="G29" s="14">
        <v>31.350044960000002</v>
      </c>
      <c r="H29" s="16">
        <v>2.08032058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80.688140910000001</v>
      </c>
      <c r="F30" s="16">
        <v>1.8352262100000001</v>
      </c>
      <c r="G30" s="14">
        <v>19.311859089999999</v>
      </c>
      <c r="H30" s="16">
        <v>1.8352262100000001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79.289828600000007</v>
      </c>
      <c r="F31" s="16">
        <v>1.9702681500000001</v>
      </c>
      <c r="G31" s="14">
        <v>20.7101714</v>
      </c>
      <c r="H31" s="16">
        <v>1.9702681500000001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81.333005209999996</v>
      </c>
      <c r="F33" s="16">
        <v>1.8739719699999999</v>
      </c>
      <c r="G33" s="14">
        <v>18.66699479</v>
      </c>
      <c r="H33" s="16">
        <v>1.8739719699999999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77.884935920000004</v>
      </c>
      <c r="F34" s="16">
        <v>1.5633107799999999</v>
      </c>
      <c r="G34" s="14">
        <v>22.11506408</v>
      </c>
      <c r="H34" s="16">
        <v>1.5633107799999999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69.648554270000005</v>
      </c>
      <c r="F35" s="16">
        <v>2.4447571199999998</v>
      </c>
      <c r="G35" s="14">
        <v>30.351445729999998</v>
      </c>
      <c r="H35" s="16">
        <v>2.4447571199999998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72.934425360000006</v>
      </c>
      <c r="F36" s="16">
        <v>1.88890984</v>
      </c>
      <c r="G36" s="14">
        <v>27.065574640000001</v>
      </c>
      <c r="H36" s="16">
        <v>1.88890984</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75.554270299999999</v>
      </c>
      <c r="F37" s="16">
        <v>2.1760873699999999</v>
      </c>
      <c r="G37" s="14">
        <v>24.445729700000001</v>
      </c>
      <c r="H37" s="16">
        <v>2.1760873699999999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73.538798970000002</v>
      </c>
      <c r="F39" s="16">
        <v>2.3842788399999999</v>
      </c>
      <c r="G39" s="14">
        <v>26.461201030000002</v>
      </c>
      <c r="H39" s="16">
        <v>2.3842788399999999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80.317645569999996</v>
      </c>
      <c r="F40" s="16">
        <v>1.6748491000000001</v>
      </c>
      <c r="G40" s="14">
        <v>19.68235443</v>
      </c>
      <c r="H40" s="16">
        <v>1.6748491000000001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75.90644005</v>
      </c>
      <c r="F41" s="16">
        <v>2.0210767600000001</v>
      </c>
      <c r="G41" s="14">
        <v>24.09355995</v>
      </c>
      <c r="H41" s="16">
        <v>2.0210767600000001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71.901581933124987</v>
      </c>
      <c r="F42" s="16">
        <f>IF(COUNT(F7:F41) &gt; 0, SQRT(SUMSQ(F7:F41)/(COUNT(F7:F41)*COUNT(F7:F41)) ), "—")</f>
        <v>0.36321575533604611</v>
      </c>
      <c r="G42" s="14">
        <f>IF(COUNT(G7:G41) &gt; 0, AVERAGE(G7:G41), "—")</f>
        <v>28.098418066875002</v>
      </c>
      <c r="H42" s="16">
        <f>IF(COUNT(H7:H41) &gt; 0, SQRT(SUMSQ(H7:H41)/(COUNT(H7:H41)*COUNT(H7:H41)) ), "—")</f>
        <v>0.36321575533604611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78.300592719999997</v>
      </c>
      <c r="F46" s="16">
        <v>1.4645425299999999</v>
      </c>
      <c r="G46" s="14">
        <v>21.699407279999999</v>
      </c>
      <c r="H46" s="16">
        <v>1.4645425299999999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69.89679185</v>
      </c>
      <c r="F47" s="16">
        <v>1.8502732200000001</v>
      </c>
      <c r="G47" s="14">
        <v>30.10320815</v>
      </c>
      <c r="H47" s="16">
        <v>1.8502732200000001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65.438865309999997</v>
      </c>
      <c r="F48" s="16">
        <v>1.94371469</v>
      </c>
      <c r="G48" s="14">
        <v>34.561134690000003</v>
      </c>
      <c r="H48" s="16">
        <v>1.94371469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77.689224719999999</v>
      </c>
      <c r="F50" s="16">
        <v>1.7232552000000001</v>
      </c>
      <c r="G50" s="14">
        <v>22.310775280000001</v>
      </c>
      <c r="H50" s="16">
        <v>1.7232552000000001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71.686098790000003</v>
      </c>
      <c r="F51" s="16">
        <v>1.91814127</v>
      </c>
      <c r="G51" s="14">
        <v>28.313901210000001</v>
      </c>
      <c r="H51" s="16">
        <v>1.91814127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75.640146329999993</v>
      </c>
      <c r="F52" s="16">
        <v>2.3110086999999999</v>
      </c>
      <c r="G52" s="14">
        <v>24.35985367</v>
      </c>
      <c r="H52" s="16">
        <v>2.3110086999999999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81.19172725</v>
      </c>
      <c r="F53" s="16">
        <v>1.9014475099999999</v>
      </c>
      <c r="G53" s="14">
        <v>18.80827275</v>
      </c>
      <c r="H53" s="16">
        <v>1.9014475099999999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48.429084690000003</v>
      </c>
      <c r="F56" s="16">
        <v>2.3475182499999998</v>
      </c>
      <c r="G56" s="14">
        <v>51.570915309999997</v>
      </c>
      <c r="H56" s="16">
        <v>2.3475182499999998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76.920179200000007</v>
      </c>
      <c r="F61" s="16">
        <v>2.0748492999999999</v>
      </c>
      <c r="G61" s="14">
        <v>23.0798208</v>
      </c>
      <c r="H61" s="16">
        <v>2.0748492999999999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64.249330330000006</v>
      </c>
      <c r="F62" s="16">
        <v>2.57268154</v>
      </c>
      <c r="G62" s="14">
        <v>35.750669670000001</v>
      </c>
      <c r="H62" s="16">
        <v>2.57268154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79.159552520000005</v>
      </c>
      <c r="F66" s="16">
        <v>1.8144293300000001</v>
      </c>
      <c r="G66" s="14">
        <v>20.840447480000002</v>
      </c>
      <c r="H66" s="16">
        <v>1.8144293300000001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82.339146139999997</v>
      </c>
      <c r="F67" s="16">
        <v>2.0119702899999998</v>
      </c>
      <c r="G67" s="14">
        <v>17.66085386</v>
      </c>
      <c r="H67" s="16">
        <v>2.0119702899999998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72.775636289999994</v>
      </c>
      <c r="F70" s="16">
        <v>2.1371914599999999</v>
      </c>
      <c r="G70" s="14">
        <v>27.224363709999999</v>
      </c>
      <c r="H70" s="16">
        <v>2.1371914599999999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54.016567969999997</v>
      </c>
      <c r="F72" s="16">
        <v>1.97519629</v>
      </c>
      <c r="G72" s="14">
        <v>45.983432030000003</v>
      </c>
      <c r="H72" s="16">
        <v>1.97519629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74.103365330000003</v>
      </c>
      <c r="F73" s="16">
        <v>2.3326141100000002</v>
      </c>
      <c r="G73" s="14">
        <v>25.896634670000001</v>
      </c>
      <c r="H73" s="16">
        <v>2.3326141100000002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70.774254749999997</v>
      </c>
      <c r="F75" s="16">
        <v>2.60535892</v>
      </c>
      <c r="G75" s="14">
        <v>29.225745249999999</v>
      </c>
      <c r="H75" s="16">
        <v>2.60535892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75.302879270000005</v>
      </c>
      <c r="F76" s="16">
        <v>1.66709616</v>
      </c>
      <c r="G76" s="14">
        <v>24.697120730000002</v>
      </c>
      <c r="H76" s="16">
        <v>1.66709616</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83.947884860000002</v>
      </c>
      <c r="F77" s="16">
        <v>1.85101899</v>
      </c>
      <c r="G77" s="14">
        <v>16.052115140000002</v>
      </c>
      <c r="H77" s="16">
        <v>1.85101899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84.146456180000001</v>
      </c>
      <c r="F81" s="16">
        <v>1.6471442000000001</v>
      </c>
      <c r="G81" s="14">
        <v>15.853543820000001</v>
      </c>
      <c r="H81" s="16">
        <v>1.6471442000000001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70.910989299999997</v>
      </c>
      <c r="F7" s="16">
        <v>1.3298579399999999</v>
      </c>
      <c r="G7" s="14">
        <v>29.089010699999999</v>
      </c>
      <c r="H7" s="16">
        <v>1.3298579399999999</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64.226179920000007</v>
      </c>
      <c r="F8" s="16">
        <v>2.1809262700000001</v>
      </c>
      <c r="G8" s="14">
        <v>35.77382008</v>
      </c>
      <c r="H8" s="16">
        <v>2.1809262700000001</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76.237672709999998</v>
      </c>
      <c r="F9" s="16">
        <v>1.69716595</v>
      </c>
      <c r="G9" s="14">
        <v>23.762327290000002</v>
      </c>
      <c r="H9" s="16">
        <v>1.69716595</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71.634902929999996</v>
      </c>
      <c r="F10" s="16">
        <v>1.4375047999999999</v>
      </c>
      <c r="G10" s="14">
        <v>28.365097070000001</v>
      </c>
      <c r="H10" s="16">
        <v>1.4375047999999999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69.16065141</v>
      </c>
      <c r="F11" s="16">
        <v>2.2459117399999999</v>
      </c>
      <c r="G11" s="14">
        <v>30.83934859</v>
      </c>
      <c r="H11" s="16">
        <v>2.2459117399999999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66.729912040000002</v>
      </c>
      <c r="F12" s="16">
        <v>2.0959124600000001</v>
      </c>
      <c r="G12" s="14">
        <v>33.270087959999998</v>
      </c>
      <c r="H12" s="16">
        <v>2.0959124600000001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74.486190769999993</v>
      </c>
      <c r="F13" s="16">
        <v>2.06147612</v>
      </c>
      <c r="G13" s="14">
        <v>25.51380923</v>
      </c>
      <c r="H13" s="16">
        <v>2.06147612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61.47889</v>
      </c>
      <c r="F14" s="16">
        <v>3.0512773100000001</v>
      </c>
      <c r="G14" s="14">
        <v>38.52111</v>
      </c>
      <c r="H14" s="16">
        <v>3.0512773100000001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55.664900340000003</v>
      </c>
      <c r="F15" s="16">
        <v>2.2166249800000002</v>
      </c>
      <c r="G15" s="14">
        <v>44.335099659999997</v>
      </c>
      <c r="H15" s="16">
        <v>2.2166249800000002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3307</v>
      </c>
      <c r="C17" s="14">
        <f>(2756/B17*100)</f>
        <v>83.338373147868168</v>
      </c>
      <c r="D17" s="15">
        <v>551</v>
      </c>
      <c r="E17" s="14">
        <v>65.366329070000006</v>
      </c>
      <c r="F17" s="16">
        <v>2.0365404699999998</v>
      </c>
      <c r="G17" s="14">
        <v>34.633670930000001</v>
      </c>
      <c r="H17" s="16">
        <v>2.0365404699999998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71.223904820000001</v>
      </c>
      <c r="F18" s="16">
        <v>2.1098268</v>
      </c>
      <c r="G18" s="14">
        <v>28.776095179999999</v>
      </c>
      <c r="H18" s="16">
        <v>2.1098268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58.192334940000002</v>
      </c>
      <c r="F19" s="16">
        <v>2.1378289000000001</v>
      </c>
      <c r="G19" s="14">
        <v>41.807665059999998</v>
      </c>
      <c r="H19" s="16">
        <v>2.1378289000000001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66.440593649999997</v>
      </c>
      <c r="F20" s="16">
        <v>2.9229293200000002</v>
      </c>
      <c r="G20" s="14">
        <v>33.559406350000003</v>
      </c>
      <c r="H20" s="16">
        <v>2.9229293200000002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69.698237039999995</v>
      </c>
      <c r="F22" s="16">
        <v>2.2411058100000001</v>
      </c>
      <c r="G22" s="14">
        <v>30.301762960000001</v>
      </c>
      <c r="H22" s="16">
        <v>2.2411058100000001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76.291814549999998</v>
      </c>
      <c r="F23" s="16">
        <v>1.9299536799999999</v>
      </c>
      <c r="G23" s="14">
        <v>23.708185449999998</v>
      </c>
      <c r="H23" s="16">
        <v>1.9299536799999999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67.082876679999998</v>
      </c>
      <c r="F24" s="16">
        <v>1.98283934</v>
      </c>
      <c r="G24" s="14">
        <v>32.917123320000002</v>
      </c>
      <c r="H24" s="16">
        <v>1.98283934</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63.689959819999999</v>
      </c>
      <c r="F25" s="16">
        <v>2.2399822399999998</v>
      </c>
      <c r="G25" s="14">
        <v>36.310040180000001</v>
      </c>
      <c r="H25" s="16">
        <v>2.2399822399999998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65.746967639999994</v>
      </c>
      <c r="F26" s="16">
        <v>2.7161850699999999</v>
      </c>
      <c r="G26" s="14">
        <v>34.253032359999999</v>
      </c>
      <c r="H26" s="16">
        <v>2.7161850699999999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70.089391599999999</v>
      </c>
      <c r="F27" s="16">
        <v>2.11768226</v>
      </c>
      <c r="G27" s="14">
        <v>29.910608400000001</v>
      </c>
      <c r="H27" s="16">
        <v>2.11768226</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60.220747840000001</v>
      </c>
      <c r="F28" s="16">
        <v>2.2261402700000001</v>
      </c>
      <c r="G28" s="14">
        <v>39.779252159999999</v>
      </c>
      <c r="H28" s="16">
        <v>2.2261402700000001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73.812668259999995</v>
      </c>
      <c r="F29" s="16">
        <v>1.99283981</v>
      </c>
      <c r="G29" s="14">
        <v>26.187331740000001</v>
      </c>
      <c r="H29" s="16">
        <v>1.99283981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75.742518799999999</v>
      </c>
      <c r="F30" s="16">
        <v>2.1867777899999998</v>
      </c>
      <c r="G30" s="14">
        <v>24.257481200000001</v>
      </c>
      <c r="H30" s="16">
        <v>2.1867777899999998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57.186942610000003</v>
      </c>
      <c r="F31" s="16">
        <v>2.2126403899999998</v>
      </c>
      <c r="G31" s="14">
        <v>42.813057389999997</v>
      </c>
      <c r="H31" s="16">
        <v>2.2126403899999998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61.631768909999998</v>
      </c>
      <c r="F33" s="16">
        <v>2.5228103800000001</v>
      </c>
      <c r="G33" s="14">
        <v>38.368231090000002</v>
      </c>
      <c r="H33" s="16">
        <v>2.5228103800000001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70.237375990000004</v>
      </c>
      <c r="F34" s="16">
        <v>1.9037683400000001</v>
      </c>
      <c r="G34" s="14">
        <v>29.76262401</v>
      </c>
      <c r="H34" s="16">
        <v>1.9037683400000001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64.500667010000001</v>
      </c>
      <c r="F35" s="16">
        <v>2.1391159100000001</v>
      </c>
      <c r="G35" s="14">
        <v>35.499332989999999</v>
      </c>
      <c r="H35" s="16">
        <v>2.1391159100000001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69.496671640000002</v>
      </c>
      <c r="F36" s="16">
        <v>2.4394358999999999</v>
      </c>
      <c r="G36" s="14">
        <v>30.503328360000001</v>
      </c>
      <c r="H36" s="16">
        <v>2.4394358999999999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68.26030738</v>
      </c>
      <c r="F37" s="16">
        <v>2.3350619400000001</v>
      </c>
      <c r="G37" s="14">
        <v>31.73969262</v>
      </c>
      <c r="H37" s="16">
        <v>2.3350619400000001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64.719407570000001</v>
      </c>
      <c r="F39" s="16">
        <v>2.8007285999999998</v>
      </c>
      <c r="G39" s="14">
        <v>35.280592429999999</v>
      </c>
      <c r="H39" s="16">
        <v>2.8007285999999998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70.664777880000003</v>
      </c>
      <c r="F40" s="16">
        <v>1.8109907199999999</v>
      </c>
      <c r="G40" s="14">
        <v>29.335222120000001</v>
      </c>
      <c r="H40" s="16">
        <v>1.8109907199999999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72.776811269999996</v>
      </c>
      <c r="F41" s="16">
        <v>1.74748272</v>
      </c>
      <c r="G41" s="14">
        <v>27.22318873</v>
      </c>
      <c r="H41" s="16">
        <v>1.74748272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65.425105137187487</v>
      </c>
      <c r="F42" s="16">
        <f>IF(COUNT(F7:F41) &gt; 0, SQRT(SUMSQ(F7:F41)/(COUNT(F7:F41)*COUNT(F7:F41)) ), "—")</f>
        <v>0.38197157983343005</v>
      </c>
      <c r="G42" s="14">
        <f>IF(COUNT(G7:G41) &gt; 0, AVERAGE(G7:G41), "—")</f>
        <v>31.449894862812492</v>
      </c>
      <c r="H42" s="16">
        <f>IF(COUNT(H7:H41) &gt; 0, SQRT(SUMSQ(H7:H41)/(COUNT(H7:H41)*COUNT(H7:H41)) ), "—")</f>
        <v>0.38197157983343005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68.355041650000004</v>
      </c>
      <c r="F46" s="16">
        <v>1.6938006000000001</v>
      </c>
      <c r="G46" s="14">
        <v>31.64495835</v>
      </c>
      <c r="H46" s="16">
        <v>1.6938006000000001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70.058324769999999</v>
      </c>
      <c r="F47" s="16">
        <v>1.9774140899999999</v>
      </c>
      <c r="G47" s="14">
        <v>29.941675230000001</v>
      </c>
      <c r="H47" s="16">
        <v>1.9774140899999999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68.970808689999998</v>
      </c>
      <c r="F48" s="16">
        <v>1.7606918300000001</v>
      </c>
      <c r="G48" s="14">
        <v>31.029191310000002</v>
      </c>
      <c r="H48" s="16">
        <v>1.7606918300000001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65.543115959999994</v>
      </c>
      <c r="F50" s="16">
        <v>2.5597468499999998</v>
      </c>
      <c r="G50" s="14">
        <v>34.456884039999998</v>
      </c>
      <c r="H50" s="16">
        <v>2.5597468499999998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66.806958620000003</v>
      </c>
      <c r="F51" s="16">
        <v>2.0763000699999998</v>
      </c>
      <c r="G51" s="14">
        <v>33.193041379999997</v>
      </c>
      <c r="H51" s="16">
        <v>2.0763000699999998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70.599986040000005</v>
      </c>
      <c r="F52" s="16">
        <v>1.9180160399999999</v>
      </c>
      <c r="G52" s="14">
        <v>29.400013959999999</v>
      </c>
      <c r="H52" s="16">
        <v>1.9180160399999999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72.107836300000002</v>
      </c>
      <c r="F53" s="16">
        <v>1.9946574100000001</v>
      </c>
      <c r="G53" s="14">
        <v>27.892163700000001</v>
      </c>
      <c r="H53" s="16">
        <v>1.9946574100000001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65.880783289999997</v>
      </c>
      <c r="F56" s="16">
        <v>2.2882650500000001</v>
      </c>
      <c r="G56" s="14">
        <v>34.119216710000003</v>
      </c>
      <c r="H56" s="16">
        <v>2.2882650500000001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63.940961129999998</v>
      </c>
      <c r="F61" s="16">
        <v>2.41335488</v>
      </c>
      <c r="G61" s="14">
        <v>36.059038870000002</v>
      </c>
      <c r="H61" s="16">
        <v>2.41335488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76.213767329999996</v>
      </c>
      <c r="F62" s="16">
        <v>2.4667873999999999</v>
      </c>
      <c r="G62" s="14">
        <v>23.78623267</v>
      </c>
      <c r="H62" s="16">
        <v>2.4667873999999999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68.174759879999996</v>
      </c>
      <c r="F66" s="16">
        <v>2.15208332</v>
      </c>
      <c r="G66" s="14">
        <v>31.82524012</v>
      </c>
      <c r="H66" s="16">
        <v>2.15208332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68.963506809999998</v>
      </c>
      <c r="F67" s="16">
        <v>1.98281182</v>
      </c>
      <c r="G67" s="14">
        <v>31.036493190000002</v>
      </c>
      <c r="H67" s="16">
        <v>1.98281182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60.681538879999998</v>
      </c>
      <c r="F70" s="16">
        <v>2.5116604800000002</v>
      </c>
      <c r="G70" s="14">
        <v>39.318461120000002</v>
      </c>
      <c r="H70" s="16">
        <v>2.5116604800000002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60.616516019999999</v>
      </c>
      <c r="F72" s="16">
        <v>1.67637989</v>
      </c>
      <c r="G72" s="14">
        <v>39.383483980000001</v>
      </c>
      <c r="H72" s="16">
        <v>1.67637989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61.584884260000003</v>
      </c>
      <c r="F73" s="16">
        <v>2.3696663600000001</v>
      </c>
      <c r="G73" s="14">
        <v>38.415115739999997</v>
      </c>
      <c r="H73" s="16">
        <v>2.3696663600000001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65.708224319999999</v>
      </c>
      <c r="F75" s="16">
        <v>2.5610007700000001</v>
      </c>
      <c r="G75" s="14">
        <v>34.291775680000001</v>
      </c>
      <c r="H75" s="16">
        <v>2.5610007700000001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2908</v>
      </c>
      <c r="C77" s="14">
        <f>(2409/B77*100)</f>
        <v>82.840440165061906</v>
      </c>
      <c r="D77" s="15">
        <v>499</v>
      </c>
      <c r="E77" s="14">
        <v>71.374414369999997</v>
      </c>
      <c r="F77" s="16">
        <v>2.14707838</v>
      </c>
      <c r="G77" s="14">
        <v>28.62558563</v>
      </c>
      <c r="H77" s="16">
        <v>2.14707838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67.738464899999997</v>
      </c>
      <c r="F81" s="16">
        <v>2.0675176</v>
      </c>
      <c r="G81" s="14">
        <v>32.261535100000003</v>
      </c>
      <c r="H81" s="16">
        <v>2.0675176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50.840506210000001</v>
      </c>
      <c r="F7" s="16">
        <v>1.58458034</v>
      </c>
      <c r="G7" s="14">
        <v>49.159493789999999</v>
      </c>
      <c r="H7" s="16">
        <v>1.58458034</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45.28515496</v>
      </c>
      <c r="F8" s="16">
        <v>2.56474198</v>
      </c>
      <c r="G8" s="14">
        <v>54.71484504</v>
      </c>
      <c r="H8" s="16">
        <v>2.56474198</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56.943283399999999</v>
      </c>
      <c r="F9" s="16">
        <v>1.8127471500000001</v>
      </c>
      <c r="G9" s="14">
        <v>43.056716600000001</v>
      </c>
      <c r="H9" s="16">
        <v>1.8127471500000001</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49.416895490000002</v>
      </c>
      <c r="F10" s="16">
        <v>1.5418212</v>
      </c>
      <c r="G10" s="14">
        <v>50.583104509999998</v>
      </c>
      <c r="H10" s="16">
        <v>1.5418212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48.90229703</v>
      </c>
      <c r="F11" s="16">
        <v>2.3216745699999999</v>
      </c>
      <c r="G11" s="14">
        <v>51.09770297</v>
      </c>
      <c r="H11" s="16">
        <v>2.3216745699999999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38.686276049999996</v>
      </c>
      <c r="F12" s="16">
        <v>3.1132386200000002</v>
      </c>
      <c r="G12" s="14">
        <v>61.313723950000004</v>
      </c>
      <c r="H12" s="16">
        <v>3.1132386200000002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50.243142749999997</v>
      </c>
      <c r="F13" s="16">
        <v>2.2087770899999999</v>
      </c>
      <c r="G13" s="14">
        <v>49.756857250000003</v>
      </c>
      <c r="H13" s="16">
        <v>2.2087770899999999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50.011186430000002</v>
      </c>
      <c r="F14" s="16">
        <v>2.65431799</v>
      </c>
      <c r="G14" s="14">
        <v>49.988813569999998</v>
      </c>
      <c r="H14" s="16">
        <v>2.65431799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51.518194309999998</v>
      </c>
      <c r="F15" s="16">
        <v>2.21501473</v>
      </c>
      <c r="G15" s="14">
        <v>48.481805690000002</v>
      </c>
      <c r="H15" s="16">
        <v>2.21501473</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67.407178189999996</v>
      </c>
      <c r="F16" s="16">
        <v>2.1600309800000002</v>
      </c>
      <c r="G16" s="14">
        <v>32.592821809999997</v>
      </c>
      <c r="H16" s="16">
        <v>2.1600309800000002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41.54942424</v>
      </c>
      <c r="F17" s="16">
        <v>1.99020117</v>
      </c>
      <c r="G17" s="14">
        <v>58.45057576</v>
      </c>
      <c r="H17" s="16">
        <v>1.99020117</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53.550740390000001</v>
      </c>
      <c r="F18" s="16">
        <v>2.34420663</v>
      </c>
      <c r="G18" s="14">
        <v>46.449259609999999</v>
      </c>
      <c r="H18" s="16">
        <v>2.34420663</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52.532960350000003</v>
      </c>
      <c r="F19" s="16">
        <v>2.3632849399999998</v>
      </c>
      <c r="G19" s="14">
        <v>47.467039649999997</v>
      </c>
      <c r="H19" s="16">
        <v>2.3632849399999998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38.160480640000003</v>
      </c>
      <c r="F20" s="16">
        <v>2.9522766499999999</v>
      </c>
      <c r="G20" s="14">
        <v>61.839519359999997</v>
      </c>
      <c r="H20" s="16">
        <v>2.9522766499999999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59.211459529999999</v>
      </c>
      <c r="F22" s="16">
        <v>2.3159086900000001</v>
      </c>
      <c r="G22" s="14">
        <v>40.788540470000001</v>
      </c>
      <c r="H22" s="16">
        <v>2.3159086900000001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57.118594270000003</v>
      </c>
      <c r="F23" s="16">
        <v>1.9346601400000001</v>
      </c>
      <c r="G23" s="14">
        <v>42.881405729999997</v>
      </c>
      <c r="H23" s="16">
        <v>1.9346601400000001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40.212169099999997</v>
      </c>
      <c r="F24" s="16">
        <v>1.97496882</v>
      </c>
      <c r="G24" s="14">
        <v>59.787830900000003</v>
      </c>
      <c r="H24" s="16">
        <v>1.97496882</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35.446343310000003</v>
      </c>
      <c r="F25" s="16">
        <v>2.2281600500000001</v>
      </c>
      <c r="G25" s="14">
        <v>64.553656689999997</v>
      </c>
      <c r="H25" s="16">
        <v>2.2281600500000001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56.592016989999998</v>
      </c>
      <c r="F26" s="16">
        <v>2.4380782299999999</v>
      </c>
      <c r="G26" s="14">
        <v>43.407983010000002</v>
      </c>
      <c r="H26" s="16">
        <v>2.4380782299999999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52.192896810000001</v>
      </c>
      <c r="F27" s="16">
        <v>2.2265767400000001</v>
      </c>
      <c r="G27" s="14">
        <v>47.807103189999999</v>
      </c>
      <c r="H27" s="16">
        <v>2.2265767400000001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60.68029713</v>
      </c>
      <c r="F28" s="16">
        <v>2.1921279999999999</v>
      </c>
      <c r="G28" s="14">
        <v>39.31970287</v>
      </c>
      <c r="H28" s="16">
        <v>2.1921279999999999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47.479002659999999</v>
      </c>
      <c r="F29" s="16">
        <v>2.53587009</v>
      </c>
      <c r="G29" s="14">
        <v>52.520997340000001</v>
      </c>
      <c r="H29" s="16">
        <v>2.53587009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52.322867240000001</v>
      </c>
      <c r="F30" s="16">
        <v>2.34438206</v>
      </c>
      <c r="G30" s="14">
        <v>47.677132759999999</v>
      </c>
      <c r="H30" s="16">
        <v>2.34438206</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51.780141460000003</v>
      </c>
      <c r="F31" s="16">
        <v>2.0434529299999999</v>
      </c>
      <c r="G31" s="14">
        <v>48.219858539999997</v>
      </c>
      <c r="H31" s="16">
        <v>2.0434529299999999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46.0986957</v>
      </c>
      <c r="F33" s="16">
        <v>2.3743585600000001</v>
      </c>
      <c r="G33" s="14">
        <v>53.9013043</v>
      </c>
      <c r="H33" s="16">
        <v>2.3743585600000001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62.272183480000002</v>
      </c>
      <c r="F34" s="16">
        <v>1.87522492</v>
      </c>
      <c r="G34" s="14">
        <v>37.727816519999998</v>
      </c>
      <c r="H34" s="16">
        <v>1.87522492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48.43660972</v>
      </c>
      <c r="F35" s="16">
        <v>2.7909400400000002</v>
      </c>
      <c r="G35" s="14">
        <v>51.56339028</v>
      </c>
      <c r="H35" s="16">
        <v>2.7909400400000002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49.895737320000002</v>
      </c>
      <c r="F36" s="16">
        <v>2.3524419299999999</v>
      </c>
      <c r="G36" s="14">
        <v>50.104262679999998</v>
      </c>
      <c r="H36" s="16">
        <v>2.3524419299999999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54.99799402</v>
      </c>
      <c r="F37" s="16">
        <v>2.2956007999999999</v>
      </c>
      <c r="G37" s="14">
        <v>45.00200598</v>
      </c>
      <c r="H37" s="16">
        <v>2.2956007999999999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59.6654062</v>
      </c>
      <c r="F39" s="16">
        <v>2.3638914199999999</v>
      </c>
      <c r="G39" s="14">
        <v>40.3345938</v>
      </c>
      <c r="H39" s="16">
        <v>2.3638914199999999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49.48684986</v>
      </c>
      <c r="F40" s="16">
        <v>1.8370643200000001</v>
      </c>
      <c r="G40" s="14">
        <v>50.51315014</v>
      </c>
      <c r="H40" s="16">
        <v>1.8370643200000001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41.345862760000003</v>
      </c>
      <c r="F41" s="16">
        <v>2.3545507899999998</v>
      </c>
      <c r="G41" s="14">
        <v>58.654137239999997</v>
      </c>
      <c r="H41" s="16">
        <v>2.3545507899999998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50.633839000000016</v>
      </c>
      <c r="F42" s="16">
        <f>IF(COUNT(F7:F41) &gt; 0, SQRT(SUMSQ(F7:F41)/(COUNT(F7:F41)*COUNT(F7:F41)) ), "—")</f>
        <v>0.40398772646358583</v>
      </c>
      <c r="G42" s="14">
        <f>IF(COUNT(G7:G41) &gt; 0, AVERAGE(G7:G41), "—")</f>
        <v>49.366160999999984</v>
      </c>
      <c r="H42" s="16">
        <f>IF(COUNT(H7:H41) &gt; 0, SQRT(SUMSQ(H7:H41)/(COUNT(H7:H41)*COUNT(H7:H41)) ), "—")</f>
        <v>0.40398772646358583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51.780005600000003</v>
      </c>
      <c r="F46" s="16">
        <v>1.8272980700000001</v>
      </c>
      <c r="G46" s="14">
        <v>48.219994399999997</v>
      </c>
      <c r="H46" s="16">
        <v>1.8272980700000001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55.397051529999999</v>
      </c>
      <c r="F47" s="16">
        <v>2.3384466399999999</v>
      </c>
      <c r="G47" s="14">
        <v>44.602948470000001</v>
      </c>
      <c r="H47" s="16">
        <v>2.3384466399999999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52.20330689</v>
      </c>
      <c r="F48" s="16">
        <v>1.8681382900000001</v>
      </c>
      <c r="G48" s="14">
        <v>47.79669311</v>
      </c>
      <c r="H48" s="16">
        <v>1.8681382900000001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66.957757709999996</v>
      </c>
      <c r="F50" s="16">
        <v>2.0378659200000002</v>
      </c>
      <c r="G50" s="14">
        <v>33.042242289999997</v>
      </c>
      <c r="H50" s="16">
        <v>2.0378659200000002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50.399364689999999</v>
      </c>
      <c r="F51" s="16">
        <v>2.1918987099999998</v>
      </c>
      <c r="G51" s="14">
        <v>49.600635310000001</v>
      </c>
      <c r="H51" s="16">
        <v>2.1918987099999998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55.85709636</v>
      </c>
      <c r="F52" s="16">
        <v>2.2644132400000001</v>
      </c>
      <c r="G52" s="14">
        <v>44.14290364</v>
      </c>
      <c r="H52" s="16">
        <v>2.2644132400000001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56.800970030000002</v>
      </c>
      <c r="F53" s="16">
        <v>2.48356713</v>
      </c>
      <c r="G53" s="14">
        <v>43.199029969999998</v>
      </c>
      <c r="H53" s="16">
        <v>2.48356713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47.545361309999997</v>
      </c>
      <c r="F56" s="16">
        <v>2.1593948200000002</v>
      </c>
      <c r="G56" s="14">
        <v>52.454638690000003</v>
      </c>
      <c r="H56" s="16">
        <v>2.1593948200000002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60.91999817</v>
      </c>
      <c r="F61" s="16">
        <v>2.3788826200000002</v>
      </c>
      <c r="G61" s="14">
        <v>39.08000183</v>
      </c>
      <c r="H61" s="16">
        <v>2.3788826200000002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45.235832180000003</v>
      </c>
      <c r="F62" s="16">
        <v>2.4786579199999998</v>
      </c>
      <c r="G62" s="14">
        <v>54.764167819999997</v>
      </c>
      <c r="H62" s="16">
        <v>2.4786579199999998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58.174670380000002</v>
      </c>
      <c r="F66" s="16">
        <v>2.2827812500000002</v>
      </c>
      <c r="G66" s="14">
        <v>41.825329619999998</v>
      </c>
      <c r="H66" s="16">
        <v>2.2827812500000002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53.456319030000003</v>
      </c>
      <c r="F67" s="16">
        <v>2.4586002499999999</v>
      </c>
      <c r="G67" s="14">
        <v>46.543680969999997</v>
      </c>
      <c r="H67" s="16">
        <v>2.4586002499999999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68.899924139999996</v>
      </c>
      <c r="F70" s="16">
        <v>2.3104456600000001</v>
      </c>
      <c r="G70" s="14">
        <v>31.10007586</v>
      </c>
      <c r="H70" s="16">
        <v>2.3104456600000001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43.041400830000001</v>
      </c>
      <c r="F72" s="16">
        <v>1.8655789</v>
      </c>
      <c r="G72" s="14">
        <v>56.958599169999999</v>
      </c>
      <c r="H72" s="16">
        <v>1.8655789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50.612946340000001</v>
      </c>
      <c r="F73" s="16">
        <v>2.4809241499999999</v>
      </c>
      <c r="G73" s="14">
        <v>49.387053659999999</v>
      </c>
      <c r="H73" s="16">
        <v>2.4809241499999999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73.872734870000002</v>
      </c>
      <c r="F75" s="16">
        <v>2.6492272799999999</v>
      </c>
      <c r="G75" s="14">
        <v>26.127265130000001</v>
      </c>
      <c r="H75" s="16">
        <v>2.6492272799999999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55.083061030000003</v>
      </c>
      <c r="F76" s="16">
        <v>2.0111521400000001</v>
      </c>
      <c r="G76" s="14">
        <v>44.916938969999997</v>
      </c>
      <c r="H76" s="16">
        <v>2.0111521400000001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55.999860089999999</v>
      </c>
      <c r="F77" s="16">
        <v>1.8397953</v>
      </c>
      <c r="G77" s="14">
        <v>44.000139910000001</v>
      </c>
      <c r="H77" s="16">
        <v>1.8397953</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49.317394729999997</v>
      </c>
      <c r="F81" s="16">
        <v>2.5179074400000001</v>
      </c>
      <c r="G81" s="14">
        <v>50.682605270000003</v>
      </c>
      <c r="H81" s="16">
        <v>2.5179074400000001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42.954798969999999</v>
      </c>
      <c r="F7" s="16">
        <v>1.6346584200000001</v>
      </c>
      <c r="G7" s="14">
        <v>57.045201030000001</v>
      </c>
      <c r="H7" s="16">
        <v>1.6346584200000001</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49.836873480000001</v>
      </c>
      <c r="F8" s="16">
        <v>2.3105820700000002</v>
      </c>
      <c r="G8" s="14">
        <v>50.163126519999999</v>
      </c>
      <c r="H8" s="16">
        <v>2.3105820700000002</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53.002989790000001</v>
      </c>
      <c r="F9" s="16">
        <v>1.59457607</v>
      </c>
      <c r="G9" s="14">
        <v>46.997010209999999</v>
      </c>
      <c r="H9" s="16">
        <v>1.59457607</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41.154356200000002</v>
      </c>
      <c r="F10" s="16">
        <v>1.7189675499999999</v>
      </c>
      <c r="G10" s="14">
        <v>58.845643799999998</v>
      </c>
      <c r="H10" s="16">
        <v>1.7189675499999999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66.546747089999997</v>
      </c>
      <c r="F11" s="16">
        <v>2.1339038299999999</v>
      </c>
      <c r="G11" s="14">
        <v>33.453252910000003</v>
      </c>
      <c r="H11" s="16">
        <v>2.1339038299999999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43.047775080000001</v>
      </c>
      <c r="F12" s="16">
        <v>2.4526331199999998</v>
      </c>
      <c r="G12" s="14">
        <v>56.952224919999999</v>
      </c>
      <c r="H12" s="16">
        <v>2.4526331199999998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49.583988849999997</v>
      </c>
      <c r="F13" s="16">
        <v>2.3354396199999998</v>
      </c>
      <c r="G13" s="14">
        <v>50.416011150000003</v>
      </c>
      <c r="H13" s="16">
        <v>2.3354396199999998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44.773822629999998</v>
      </c>
      <c r="F14" s="16">
        <v>2.7122165699999998</v>
      </c>
      <c r="G14" s="14">
        <v>55.226177370000002</v>
      </c>
      <c r="H14" s="16">
        <v>2.7122165699999998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58.745478890000001</v>
      </c>
      <c r="F15" s="16">
        <v>1.85525473</v>
      </c>
      <c r="G15" s="14">
        <v>41.254521109999999</v>
      </c>
      <c r="H15" s="16">
        <v>1.85525473</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46.18875525</v>
      </c>
      <c r="F16" s="16">
        <v>2.3468599800000001</v>
      </c>
      <c r="G16" s="14">
        <v>53.81124475</v>
      </c>
      <c r="H16" s="16">
        <v>2.3468599800000001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50.647577349999999</v>
      </c>
      <c r="F17" s="16">
        <v>1.9001522900000001</v>
      </c>
      <c r="G17" s="14">
        <v>49.352422650000001</v>
      </c>
      <c r="H17" s="16">
        <v>1.9001522900000001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58.896982520000002</v>
      </c>
      <c r="F18" s="16">
        <v>2.5463292100000001</v>
      </c>
      <c r="G18" s="14">
        <v>41.103017479999998</v>
      </c>
      <c r="H18" s="16">
        <v>2.5463292100000001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58.44193052</v>
      </c>
      <c r="F19" s="16">
        <v>2.2185309599999998</v>
      </c>
      <c r="G19" s="14">
        <v>41.55806948</v>
      </c>
      <c r="H19" s="16">
        <v>2.2185309599999998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57.630647920000001</v>
      </c>
      <c r="F20" s="16">
        <v>2.9918063799999999</v>
      </c>
      <c r="G20" s="14">
        <v>42.369352079999999</v>
      </c>
      <c r="H20" s="16">
        <v>2.9918063799999999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52.111005489999997</v>
      </c>
      <c r="F22" s="16">
        <v>1.96803979</v>
      </c>
      <c r="G22" s="14">
        <v>47.888994510000003</v>
      </c>
      <c r="H22" s="16">
        <v>1.96803979</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54.588886799999997</v>
      </c>
      <c r="F23" s="16">
        <v>2.1698449000000002</v>
      </c>
      <c r="G23" s="14">
        <v>45.411113200000003</v>
      </c>
      <c r="H23" s="16">
        <v>2.1698449000000002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40.223737710000002</v>
      </c>
      <c r="F24" s="16">
        <v>2.1277609399999999</v>
      </c>
      <c r="G24" s="14">
        <v>59.776262289999998</v>
      </c>
      <c r="H24" s="16">
        <v>2.1277609399999999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46.304965269999997</v>
      </c>
      <c r="F25" s="16">
        <v>2.3391905500000001</v>
      </c>
      <c r="G25" s="14">
        <v>53.695034730000003</v>
      </c>
      <c r="H25" s="16">
        <v>2.3391905500000001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53.665836830000003</v>
      </c>
      <c r="F26" s="16">
        <v>2.67914261</v>
      </c>
      <c r="G26" s="14">
        <v>46.334163169999997</v>
      </c>
      <c r="H26" s="16">
        <v>2.67914261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52.921441610000002</v>
      </c>
      <c r="F27" s="16">
        <v>2.4578618400000001</v>
      </c>
      <c r="G27" s="14">
        <v>47.078558389999998</v>
      </c>
      <c r="H27" s="16">
        <v>2.4578618400000001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67.345978919999993</v>
      </c>
      <c r="F28" s="16">
        <v>2.1659716599999999</v>
      </c>
      <c r="G28" s="14">
        <v>32.65402108</v>
      </c>
      <c r="H28" s="16">
        <v>2.1659716599999999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56.209806350000001</v>
      </c>
      <c r="F29" s="16">
        <v>2.2391675800000002</v>
      </c>
      <c r="G29" s="14">
        <v>43.790193649999999</v>
      </c>
      <c r="H29" s="16">
        <v>2.2391675800000002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45.164588369999997</v>
      </c>
      <c r="F30" s="16">
        <v>2.8323476799999998</v>
      </c>
      <c r="G30" s="14">
        <v>54.835411630000003</v>
      </c>
      <c r="H30" s="16">
        <v>2.8323476799999998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49.908892760000001</v>
      </c>
      <c r="F31" s="16">
        <v>2.1718487</v>
      </c>
      <c r="G31" s="14">
        <v>50.091107239999999</v>
      </c>
      <c r="H31" s="16">
        <v>2.1718487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58.254272700000001</v>
      </c>
      <c r="F33" s="16">
        <v>1.8874562500000001</v>
      </c>
      <c r="G33" s="14">
        <v>41.745727299999999</v>
      </c>
      <c r="H33" s="16">
        <v>1.8874562500000001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58.735850650000003</v>
      </c>
      <c r="F34" s="16">
        <v>2.1306901699999998</v>
      </c>
      <c r="G34" s="14">
        <v>41.264149349999997</v>
      </c>
      <c r="H34" s="16">
        <v>2.1306901699999998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48.342750709999997</v>
      </c>
      <c r="F35" s="16">
        <v>2.6179318</v>
      </c>
      <c r="G35" s="14">
        <v>51.657249290000003</v>
      </c>
      <c r="H35" s="16">
        <v>2.6179318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52.74076779</v>
      </c>
      <c r="F36" s="16">
        <v>2.3050509300000002</v>
      </c>
      <c r="G36" s="14">
        <v>47.25923221</v>
      </c>
      <c r="H36" s="16">
        <v>2.3050509300000002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55.655691949999998</v>
      </c>
      <c r="F37" s="16">
        <v>2.3926786199999999</v>
      </c>
      <c r="G37" s="14">
        <v>44.344308050000002</v>
      </c>
      <c r="H37" s="16">
        <v>2.3926786199999999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73.972794559999997</v>
      </c>
      <c r="F39" s="16">
        <v>2.48767885</v>
      </c>
      <c r="G39" s="14">
        <v>26.027205439999999</v>
      </c>
      <c r="H39" s="16">
        <v>2.48767885</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40.868927800000002</v>
      </c>
      <c r="F40" s="16">
        <v>2.0252411600000002</v>
      </c>
      <c r="G40" s="14">
        <v>59.131072199999998</v>
      </c>
      <c r="H40" s="16">
        <v>2.0252411600000002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39.52135578</v>
      </c>
      <c r="F41" s="16">
        <v>2.0229288300000001</v>
      </c>
      <c r="G41" s="14">
        <v>60.47864422</v>
      </c>
      <c r="H41" s="16">
        <v>2.0229288300000001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52.124696143437504</v>
      </c>
      <c r="F42" s="16">
        <f>IF(COUNT(F7:F41) &gt; 0, SQRT(SUMSQ(F7:F41)/(COUNT(F7:F41)*COUNT(F7:F41)) ), "—")</f>
        <v>0.40071348637675436</v>
      </c>
      <c r="G42" s="14">
        <f>IF(COUNT(G7:G41) &gt; 0, AVERAGE(G7:G41), "—")</f>
        <v>47.875303856562496</v>
      </c>
      <c r="H42" s="16">
        <f>IF(COUNT(H7:H41) &gt; 0, SQRT(SUMSQ(H7:H41)/(COUNT(H7:H41)*COUNT(H7:H41)) ), "—")</f>
        <v>0.40071348637675436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67.466287660000006</v>
      </c>
      <c r="F46" s="16">
        <v>1.62262079</v>
      </c>
      <c r="G46" s="14">
        <v>32.533712340000001</v>
      </c>
      <c r="H46" s="16">
        <v>1.62262079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59.504818419999999</v>
      </c>
      <c r="F47" s="16">
        <v>2.4957154300000002</v>
      </c>
      <c r="G47" s="14">
        <v>40.495181580000001</v>
      </c>
      <c r="H47" s="16">
        <v>2.4957154300000002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54.363863799999997</v>
      </c>
      <c r="F48" s="16">
        <v>1.99336249</v>
      </c>
      <c r="G48" s="14">
        <v>45.636136200000003</v>
      </c>
      <c r="H48" s="16">
        <v>1.99336249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71.615158280000003</v>
      </c>
      <c r="F50" s="16">
        <v>1.9922345400000001</v>
      </c>
      <c r="G50" s="14">
        <v>28.384841720000001</v>
      </c>
      <c r="H50" s="16">
        <v>1.9922345400000001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67.378153429999998</v>
      </c>
      <c r="F51" s="16">
        <v>2.2428081299999998</v>
      </c>
      <c r="G51" s="14">
        <v>32.621846570000002</v>
      </c>
      <c r="H51" s="16">
        <v>2.2428081299999998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59.112011889999998</v>
      </c>
      <c r="F52" s="16">
        <v>2.3730154799999998</v>
      </c>
      <c r="G52" s="14">
        <v>40.887988110000002</v>
      </c>
      <c r="H52" s="16">
        <v>2.3730154799999998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62.053810130000002</v>
      </c>
      <c r="F53" s="16">
        <v>2.0001129799999999</v>
      </c>
      <c r="G53" s="14">
        <v>37.946189869999998</v>
      </c>
      <c r="H53" s="16">
        <v>2.0001129799999999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48.88974923</v>
      </c>
      <c r="F56" s="16">
        <v>2.2001237100000002</v>
      </c>
      <c r="G56" s="14">
        <v>51.11025077</v>
      </c>
      <c r="H56" s="16">
        <v>2.2001237100000002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53.103694949999998</v>
      </c>
      <c r="F61" s="16">
        <v>2.11851593</v>
      </c>
      <c r="G61" s="14">
        <v>46.896305050000002</v>
      </c>
      <c r="H61" s="16">
        <v>2.11851593</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56.438867129999998</v>
      </c>
      <c r="F62" s="16">
        <v>2.6592810999999998</v>
      </c>
      <c r="G62" s="14">
        <v>43.561132870000002</v>
      </c>
      <c r="H62" s="16">
        <v>2.6592810999999998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63.264102860000001</v>
      </c>
      <c r="F66" s="16">
        <v>2.3814388399999999</v>
      </c>
      <c r="G66" s="14">
        <v>36.735897139999999</v>
      </c>
      <c r="H66" s="16">
        <v>2.3814388399999999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74.477119720000005</v>
      </c>
      <c r="F67" s="16">
        <v>1.7292398</v>
      </c>
      <c r="G67" s="14">
        <v>25.522880279999999</v>
      </c>
      <c r="H67" s="16">
        <v>1.7292398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59.487731570000001</v>
      </c>
      <c r="F70" s="16">
        <v>2.55538694</v>
      </c>
      <c r="G70" s="14">
        <v>40.512268429999999</v>
      </c>
      <c r="H70" s="16">
        <v>2.55538694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57.092449559999999</v>
      </c>
      <c r="F72" s="16">
        <v>2.1915075700000002</v>
      </c>
      <c r="G72" s="14">
        <v>42.907550440000001</v>
      </c>
      <c r="H72" s="16">
        <v>2.1915075700000002</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72.24455614</v>
      </c>
      <c r="F73" s="16">
        <v>2.73352818</v>
      </c>
      <c r="G73" s="14">
        <v>27.75544386</v>
      </c>
      <c r="H73" s="16">
        <v>2.73352818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75.388779159999999</v>
      </c>
      <c r="F75" s="16">
        <v>2.3535986699999998</v>
      </c>
      <c r="G75" s="14">
        <v>24.611220840000001</v>
      </c>
      <c r="H75" s="16">
        <v>2.3535986699999998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65.863608979999995</v>
      </c>
      <c r="F76" s="16">
        <v>1.71065153</v>
      </c>
      <c r="G76" s="14">
        <v>34.136391019999998</v>
      </c>
      <c r="H76" s="16">
        <v>1.71065153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67.016521400000002</v>
      </c>
      <c r="F77" s="16">
        <v>2.4305013400000002</v>
      </c>
      <c r="G77" s="14">
        <v>32.983478599999998</v>
      </c>
      <c r="H77" s="16">
        <v>2.4305013400000002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64.370697590000006</v>
      </c>
      <c r="F81" s="16">
        <v>2.13988084</v>
      </c>
      <c r="G81" s="14">
        <v>35.629302410000001</v>
      </c>
      <c r="H81" s="16">
        <v>2.13988084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61.489588529999999</v>
      </c>
      <c r="F7" s="16">
        <v>1.7976676700000001</v>
      </c>
      <c r="G7" s="14">
        <v>38.510411470000001</v>
      </c>
      <c r="H7" s="16">
        <v>1.7976676700000001</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75.788948790000006</v>
      </c>
      <c r="F8" s="16">
        <v>2.0494614699999998</v>
      </c>
      <c r="G8" s="14">
        <v>24.211051210000001</v>
      </c>
      <c r="H8" s="16">
        <v>2.0494614699999998</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77.9088809</v>
      </c>
      <c r="F9" s="16">
        <v>1.5970012899999999</v>
      </c>
      <c r="G9" s="14">
        <v>22.0911191</v>
      </c>
      <c r="H9" s="16">
        <v>1.5970012899999999</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65.104151139999999</v>
      </c>
      <c r="F10" s="16">
        <v>1.55618195</v>
      </c>
      <c r="G10" s="14">
        <v>34.895848860000001</v>
      </c>
      <c r="H10" s="16">
        <v>1.55618195</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82.733419720000001</v>
      </c>
      <c r="F11" s="16">
        <v>1.8319276799999999</v>
      </c>
      <c r="G11" s="14">
        <v>17.266580279999999</v>
      </c>
      <c r="H11" s="16">
        <v>1.8319276799999999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81.633019039999994</v>
      </c>
      <c r="F12" s="16">
        <v>1.8152884600000001</v>
      </c>
      <c r="G12" s="14">
        <v>18.366980959999999</v>
      </c>
      <c r="H12" s="16">
        <v>1.8152884600000001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68.924697839999993</v>
      </c>
      <c r="F13" s="16">
        <v>2.4142214900000001</v>
      </c>
      <c r="G13" s="14">
        <v>31.07530216</v>
      </c>
      <c r="H13" s="16">
        <v>2.4142214900000001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74.895177230000002</v>
      </c>
      <c r="F14" s="16">
        <v>2.4093966500000001</v>
      </c>
      <c r="G14" s="14">
        <v>25.104822769999998</v>
      </c>
      <c r="H14" s="16">
        <v>2.4093966500000001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72.936616979999997</v>
      </c>
      <c r="F15" s="16">
        <v>2.0688270499999999</v>
      </c>
      <c r="G15" s="14">
        <v>27.06338302</v>
      </c>
      <c r="H15" s="16">
        <v>2.0688270499999999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74.749025259999996</v>
      </c>
      <c r="F16" s="16">
        <v>1.7297082500000001</v>
      </c>
      <c r="G16" s="14">
        <v>25.25097474</v>
      </c>
      <c r="H16" s="16">
        <v>1.7297082500000001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74.359306810000007</v>
      </c>
      <c r="F17" s="16">
        <v>2.1866895500000001</v>
      </c>
      <c r="G17" s="14">
        <v>25.64069319</v>
      </c>
      <c r="H17" s="16">
        <v>2.1866895500000001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77.848878580000004</v>
      </c>
      <c r="F18" s="16">
        <v>1.94589616</v>
      </c>
      <c r="G18" s="14">
        <v>22.151121419999999</v>
      </c>
      <c r="H18" s="16">
        <v>1.94589616</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69.894484449999993</v>
      </c>
      <c r="F19" s="16">
        <v>2.3464472399999998</v>
      </c>
      <c r="G19" s="14">
        <v>30.10551555</v>
      </c>
      <c r="H19" s="16">
        <v>2.3464472399999998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68.443718529999998</v>
      </c>
      <c r="F20" s="16">
        <v>2.5037849699999999</v>
      </c>
      <c r="G20" s="14">
        <v>31.556281469999998</v>
      </c>
      <c r="H20" s="16">
        <v>2.5037849699999999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83.211384039999999</v>
      </c>
      <c r="F22" s="16">
        <v>1.8391335099999999</v>
      </c>
      <c r="G22" s="14">
        <v>16.788615960000001</v>
      </c>
      <c r="H22" s="16">
        <v>1.8391335099999999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77.930772570000002</v>
      </c>
      <c r="F23" s="16">
        <v>1.7385651099999999</v>
      </c>
      <c r="G23" s="14">
        <v>22.069227430000002</v>
      </c>
      <c r="H23" s="16">
        <v>1.7385651099999999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58.807460450000001</v>
      </c>
      <c r="F24" s="16">
        <v>2.2820971800000001</v>
      </c>
      <c r="G24" s="14">
        <v>41.192539549999999</v>
      </c>
      <c r="H24" s="16">
        <v>2.2820971800000001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63.357068099999999</v>
      </c>
      <c r="F25" s="16">
        <v>2.3223601299999999</v>
      </c>
      <c r="G25" s="14">
        <v>36.642931900000001</v>
      </c>
      <c r="H25" s="16">
        <v>2.3223601299999999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72.70913822</v>
      </c>
      <c r="F26" s="16">
        <v>2.43167329</v>
      </c>
      <c r="G26" s="14">
        <v>27.29086178</v>
      </c>
      <c r="H26" s="16">
        <v>2.43167329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76.348040819999994</v>
      </c>
      <c r="F27" s="16">
        <v>2.01087711</v>
      </c>
      <c r="G27" s="14">
        <v>23.651959179999999</v>
      </c>
      <c r="H27" s="16">
        <v>2.01087711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74.176593460000007</v>
      </c>
      <c r="F28" s="16">
        <v>2.1351190799999999</v>
      </c>
      <c r="G28" s="14">
        <v>25.823406540000001</v>
      </c>
      <c r="H28" s="16">
        <v>2.1351190799999999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75.502475889999999</v>
      </c>
      <c r="F29" s="16">
        <v>2.28427823</v>
      </c>
      <c r="G29" s="14">
        <v>24.497524110000001</v>
      </c>
      <c r="H29" s="16">
        <v>2.28427823</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61.981406569999997</v>
      </c>
      <c r="F30" s="16">
        <v>2.43784198</v>
      </c>
      <c r="G30" s="14">
        <v>38.018593430000003</v>
      </c>
      <c r="H30" s="16">
        <v>2.43784198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70.678256000000005</v>
      </c>
      <c r="F31" s="16">
        <v>2.0404785200000002</v>
      </c>
      <c r="G31" s="14">
        <v>29.321743999999999</v>
      </c>
      <c r="H31" s="16">
        <v>2.0404785200000002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81.577374930000005</v>
      </c>
      <c r="F33" s="16">
        <v>1.8602250899999999</v>
      </c>
      <c r="G33" s="14">
        <v>18.422625069999999</v>
      </c>
      <c r="H33" s="16">
        <v>1.8602250899999999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78.810213399999995</v>
      </c>
      <c r="F34" s="16">
        <v>1.8202360099999999</v>
      </c>
      <c r="G34" s="14">
        <v>21.189786600000001</v>
      </c>
      <c r="H34" s="16">
        <v>1.8202360099999999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70.956665709999996</v>
      </c>
      <c r="F35" s="16">
        <v>2.4235962799999999</v>
      </c>
      <c r="G35" s="14">
        <v>29.043334290000001</v>
      </c>
      <c r="H35" s="16">
        <v>2.4235962799999999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81.192224109999998</v>
      </c>
      <c r="F36" s="16">
        <v>1.8756299700000001</v>
      </c>
      <c r="G36" s="14">
        <v>18.807775889999998</v>
      </c>
      <c r="H36" s="16">
        <v>1.8756299700000001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76.334642090000003</v>
      </c>
      <c r="F37" s="16">
        <v>2.06832868</v>
      </c>
      <c r="G37" s="14">
        <v>23.665357910000001</v>
      </c>
      <c r="H37" s="16">
        <v>2.06832868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72.965388169999997</v>
      </c>
      <c r="F39" s="16">
        <v>2.3375397900000001</v>
      </c>
      <c r="G39" s="14">
        <v>27.034611829999999</v>
      </c>
      <c r="H39" s="16">
        <v>2.3375397900000001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64.858416550000001</v>
      </c>
      <c r="F40" s="16">
        <v>2.1169683400000001</v>
      </c>
      <c r="G40" s="14">
        <v>35.141583449999999</v>
      </c>
      <c r="H40" s="16">
        <v>2.1169683400000001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61.822827429999997</v>
      </c>
      <c r="F41" s="16">
        <v>2.1193041300000002</v>
      </c>
      <c r="G41" s="14">
        <v>38.177172570000003</v>
      </c>
      <c r="H41" s="16">
        <v>2.1193041300000002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72.810320697187521</v>
      </c>
      <c r="F42" s="16">
        <f>IF(COUNT(F7:F41) &gt; 0, SQRT(SUMSQ(F7:F41)/(COUNT(F7:F41)*COUNT(F7:F41)) ), "—")</f>
        <v>0.36979538740062273</v>
      </c>
      <c r="G42" s="14">
        <f>IF(COUNT(G7:G41) &gt; 0, AVERAGE(G7:G41), "—")</f>
        <v>27.189679302812497</v>
      </c>
      <c r="H42" s="16">
        <f>IF(COUNT(H7:H41) &gt; 0, SQRT(SUMSQ(H7:H41)/(COUNT(H7:H41)*COUNT(H7:H41)) ), "—")</f>
        <v>0.36979538740062273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82.067284060000006</v>
      </c>
      <c r="F46" s="16">
        <v>1.28928815</v>
      </c>
      <c r="G46" s="14">
        <v>17.932715940000001</v>
      </c>
      <c r="H46" s="16">
        <v>1.28928815</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74.298353989999995</v>
      </c>
      <c r="F47" s="16">
        <v>1.79054607</v>
      </c>
      <c r="G47" s="14">
        <v>25.701646010000001</v>
      </c>
      <c r="H47" s="16">
        <v>1.79054607</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65.309929859999997</v>
      </c>
      <c r="F48" s="16">
        <v>2.1749812199999998</v>
      </c>
      <c r="G48" s="14">
        <v>34.690070140000003</v>
      </c>
      <c r="H48" s="16">
        <v>2.1749812199999998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77.100568109999998</v>
      </c>
      <c r="F50" s="16">
        <v>1.79246562</v>
      </c>
      <c r="G50" s="14">
        <v>22.899431889999999</v>
      </c>
      <c r="H50" s="16">
        <v>1.79246562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81.979695579999998</v>
      </c>
      <c r="F51" s="16">
        <v>2.0401289999999999</v>
      </c>
      <c r="G51" s="14">
        <v>18.020304419999999</v>
      </c>
      <c r="H51" s="16">
        <v>2.0401289999999999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80.862018210000002</v>
      </c>
      <c r="F52" s="16">
        <v>1.90570971</v>
      </c>
      <c r="G52" s="14">
        <v>19.137981790000001</v>
      </c>
      <c r="H52" s="16">
        <v>1.90570971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78.163100360000001</v>
      </c>
      <c r="F53" s="16">
        <v>1.83981737</v>
      </c>
      <c r="G53" s="14">
        <v>21.836899639999999</v>
      </c>
      <c r="H53" s="16">
        <v>1.83981737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61.518689760000001</v>
      </c>
      <c r="F56" s="16">
        <v>2.3672113499999998</v>
      </c>
      <c r="G56" s="14">
        <v>38.481310239999999</v>
      </c>
      <c r="H56" s="16">
        <v>2.3672113499999998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74.754513220000007</v>
      </c>
      <c r="F61" s="16">
        <v>2.0681993400000001</v>
      </c>
      <c r="G61" s="14">
        <v>25.24548678</v>
      </c>
      <c r="H61" s="16">
        <v>2.0681993400000001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68.243654070000005</v>
      </c>
      <c r="F62" s="16">
        <v>2.3737432599999999</v>
      </c>
      <c r="G62" s="14">
        <v>31.756345929999998</v>
      </c>
      <c r="H62" s="16">
        <v>2.3737432599999999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75.030819390000005</v>
      </c>
      <c r="F66" s="16">
        <v>1.79134792</v>
      </c>
      <c r="G66" s="14">
        <v>24.969180609999999</v>
      </c>
      <c r="H66" s="16">
        <v>1.79134792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79.408555559999996</v>
      </c>
      <c r="F67" s="16">
        <v>1.9576079399999999</v>
      </c>
      <c r="G67" s="14">
        <v>20.59144444</v>
      </c>
      <c r="H67" s="16">
        <v>1.9576079399999999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84.935837509999999</v>
      </c>
      <c r="F70" s="16">
        <v>1.5518968200000001</v>
      </c>
      <c r="G70" s="14">
        <v>15.064162489999999</v>
      </c>
      <c r="H70" s="16">
        <v>1.5518968200000001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64.50377795</v>
      </c>
      <c r="F72" s="16">
        <v>1.9346824199999999</v>
      </c>
      <c r="G72" s="14">
        <v>35.49622205</v>
      </c>
      <c r="H72" s="16">
        <v>1.9346824199999999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70.188681590000002</v>
      </c>
      <c r="F73" s="16">
        <v>1.8969837700000001</v>
      </c>
      <c r="G73" s="14">
        <v>29.811318409999998</v>
      </c>
      <c r="H73" s="16">
        <v>1.8969837700000001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80.785607519999999</v>
      </c>
      <c r="F75" s="16">
        <v>1.9433476999999999</v>
      </c>
      <c r="G75" s="14">
        <v>19.214392480000001</v>
      </c>
      <c r="H75" s="16">
        <v>1.9433476999999999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74.611412740000006</v>
      </c>
      <c r="F76" s="16">
        <v>1.2607173</v>
      </c>
      <c r="G76" s="14">
        <v>25.388587260000001</v>
      </c>
      <c r="H76" s="16">
        <v>1.2607173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80.868236260000003</v>
      </c>
      <c r="F77" s="16">
        <v>1.8296171800000001</v>
      </c>
      <c r="G77" s="14">
        <v>19.13176374</v>
      </c>
      <c r="H77" s="16">
        <v>1.8296171800000001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78.908553589999997</v>
      </c>
      <c r="F81" s="16">
        <v>2.0498842100000001</v>
      </c>
      <c r="G81" s="14">
        <v>21.09144641</v>
      </c>
      <c r="H81" s="16">
        <v>2.0498842100000001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45.116560130000003</v>
      </c>
      <c r="F7" s="16">
        <v>1.60615244</v>
      </c>
      <c r="G7" s="14">
        <v>54.883439869999997</v>
      </c>
      <c r="H7" s="16">
        <v>1.60615244</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40.68755693</v>
      </c>
      <c r="F8" s="16">
        <v>1.9758643600000001</v>
      </c>
      <c r="G8" s="14">
        <v>59.31244307</v>
      </c>
      <c r="H8" s="16">
        <v>1.9758643600000001</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38.881665599999998</v>
      </c>
      <c r="F9" s="16">
        <v>1.58047727</v>
      </c>
      <c r="G9" s="14">
        <v>61.118334400000002</v>
      </c>
      <c r="H9" s="16">
        <v>1.58047727</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44.218682899999997</v>
      </c>
      <c r="F10" s="16">
        <v>1.58886821</v>
      </c>
      <c r="G10" s="14">
        <v>55.781317100000003</v>
      </c>
      <c r="H10" s="16">
        <v>1.58886821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44.281571589999999</v>
      </c>
      <c r="F11" s="16">
        <v>2.3033311400000001</v>
      </c>
      <c r="G11" s="14">
        <v>55.718428410000001</v>
      </c>
      <c r="H11" s="16">
        <v>2.3033311400000001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48.218371640000001</v>
      </c>
      <c r="F12" s="16">
        <v>2.5879823499999999</v>
      </c>
      <c r="G12" s="14">
        <v>51.781628359999999</v>
      </c>
      <c r="H12" s="16">
        <v>2.5879823499999999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44.960610260000003</v>
      </c>
      <c r="F13" s="16">
        <v>2.6388065300000001</v>
      </c>
      <c r="G13" s="14">
        <v>55.039389739999997</v>
      </c>
      <c r="H13" s="16">
        <v>2.6388065300000001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28.44577335</v>
      </c>
      <c r="F14" s="16">
        <v>2.2998925799999999</v>
      </c>
      <c r="G14" s="14">
        <v>71.554226650000004</v>
      </c>
      <c r="H14" s="16">
        <v>2.2998925799999999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34.174045169999999</v>
      </c>
      <c r="F15" s="16">
        <v>2.20015765</v>
      </c>
      <c r="G15" s="14">
        <v>65.825954830000001</v>
      </c>
      <c r="H15" s="16">
        <v>2.20015765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41.234281260000003</v>
      </c>
      <c r="F16" s="16">
        <v>2.17501503</v>
      </c>
      <c r="G16" s="14">
        <v>58.765718739999997</v>
      </c>
      <c r="H16" s="16">
        <v>2.17501503</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42.420169710000003</v>
      </c>
      <c r="F17" s="16">
        <v>2.35044326</v>
      </c>
      <c r="G17" s="14">
        <v>57.579830289999997</v>
      </c>
      <c r="H17" s="16">
        <v>2.35044326</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50.518431679999999</v>
      </c>
      <c r="F18" s="16">
        <v>2.6233971199999999</v>
      </c>
      <c r="G18" s="14">
        <v>49.481568320000001</v>
      </c>
      <c r="H18" s="16">
        <v>2.6233971199999999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57.58116347</v>
      </c>
      <c r="F19" s="16">
        <v>1.91471817</v>
      </c>
      <c r="G19" s="14">
        <v>42.41883653</v>
      </c>
      <c r="H19" s="16">
        <v>1.91471817</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44.66371118</v>
      </c>
      <c r="F20" s="16">
        <v>2.8977023900000001</v>
      </c>
      <c r="G20" s="14">
        <v>55.33628882</v>
      </c>
      <c r="H20" s="16">
        <v>2.8977023900000001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36.26909406</v>
      </c>
      <c r="F22" s="16">
        <v>2.4831184999999998</v>
      </c>
      <c r="G22" s="14">
        <v>63.73090594</v>
      </c>
      <c r="H22" s="16">
        <v>2.4831184999999998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47.355979210000001</v>
      </c>
      <c r="F23" s="16">
        <v>2.10055719</v>
      </c>
      <c r="G23" s="14">
        <v>52.644020789999999</v>
      </c>
      <c r="H23" s="16">
        <v>2.10055719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35.570016889999998</v>
      </c>
      <c r="F24" s="16">
        <v>2.2332702900000001</v>
      </c>
      <c r="G24" s="14">
        <v>64.429983109999995</v>
      </c>
      <c r="H24" s="16">
        <v>2.2332702900000001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43.465885800000002</v>
      </c>
      <c r="F25" s="16">
        <v>2.4977313900000002</v>
      </c>
      <c r="G25" s="14">
        <v>56.534114199999998</v>
      </c>
      <c r="H25" s="16">
        <v>2.4977313900000002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45.42909496</v>
      </c>
      <c r="F26" s="16">
        <v>2.0509910900000001</v>
      </c>
      <c r="G26" s="14">
        <v>54.57090504</v>
      </c>
      <c r="H26" s="16">
        <v>2.0509910900000001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48.35000917</v>
      </c>
      <c r="F27" s="16">
        <v>2.2593712400000001</v>
      </c>
      <c r="G27" s="14">
        <v>51.64999083</v>
      </c>
      <c r="H27" s="16">
        <v>2.2593712400000001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48.085844039999998</v>
      </c>
      <c r="F28" s="16">
        <v>2.1587608</v>
      </c>
      <c r="G28" s="14">
        <v>51.914155960000002</v>
      </c>
      <c r="H28" s="16">
        <v>2.1587608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26.86924337</v>
      </c>
      <c r="F29" s="16">
        <v>2.2298061699999998</v>
      </c>
      <c r="G29" s="14">
        <v>73.130756629999993</v>
      </c>
      <c r="H29" s="16">
        <v>2.2298061699999998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43.04887506</v>
      </c>
      <c r="F30" s="16">
        <v>2.8382748900000001</v>
      </c>
      <c r="G30" s="14">
        <v>56.95112494</v>
      </c>
      <c r="H30" s="16">
        <v>2.8382748900000001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48.433284270000001</v>
      </c>
      <c r="F31" s="16">
        <v>2.23110236</v>
      </c>
      <c r="G31" s="14">
        <v>51.566715729999999</v>
      </c>
      <c r="H31" s="16">
        <v>2.23110236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46.787784250000001</v>
      </c>
      <c r="F33" s="16">
        <v>2.0411540800000001</v>
      </c>
      <c r="G33" s="14">
        <v>53.212215749999999</v>
      </c>
      <c r="H33" s="16">
        <v>2.0411540800000001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53.036554610000003</v>
      </c>
      <c r="F34" s="16">
        <v>2.4444740500000002</v>
      </c>
      <c r="G34" s="14">
        <v>46.963445389999997</v>
      </c>
      <c r="H34" s="16">
        <v>2.4444740500000002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46.694195039999997</v>
      </c>
      <c r="F35" s="16">
        <v>2.67184417</v>
      </c>
      <c r="G35" s="14">
        <v>53.305804960000003</v>
      </c>
      <c r="H35" s="16">
        <v>2.67184417</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36.649563999999998</v>
      </c>
      <c r="F36" s="16">
        <v>2.08010838</v>
      </c>
      <c r="G36" s="14">
        <v>63.350436000000002</v>
      </c>
      <c r="H36" s="16">
        <v>2.08010838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50.255169559999999</v>
      </c>
      <c r="F37" s="16">
        <v>2.57906982</v>
      </c>
      <c r="G37" s="14">
        <v>49.744830440000001</v>
      </c>
      <c r="H37" s="16">
        <v>2.57906982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53.512865060000003</v>
      </c>
      <c r="F39" s="16">
        <v>2.3542247600000001</v>
      </c>
      <c r="G39" s="14">
        <v>46.487134939999997</v>
      </c>
      <c r="H39" s="16">
        <v>2.3542247600000001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44.508340490000002</v>
      </c>
      <c r="F40" s="16">
        <v>2.1189778499999998</v>
      </c>
      <c r="G40" s="14">
        <v>55.491659509999998</v>
      </c>
      <c r="H40" s="16">
        <v>2.1189778499999998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43.223724199999999</v>
      </c>
      <c r="F41" s="16">
        <v>2.1678142600000001</v>
      </c>
      <c r="G41" s="14">
        <v>56.776275800000001</v>
      </c>
      <c r="H41" s="16">
        <v>2.1678142600000001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43.842128715937505</v>
      </c>
      <c r="F42" s="16">
        <f>IF(COUNT(F7:F41) &gt; 0, SQRT(SUMSQ(F7:F41)/(COUNT(F7:F41)*COUNT(F7:F41)) ), "—")</f>
        <v>0.40332529599209627</v>
      </c>
      <c r="G42" s="14">
        <f>IF(COUNT(G7:G41) &gt; 0, AVERAGE(G7:G41), "—")</f>
        <v>56.157871284062502</v>
      </c>
      <c r="H42" s="16">
        <f>IF(COUNT(H7:H41) &gt; 0, SQRT(SUMSQ(H7:H41)/(COUNT(H7:H41)*COUNT(H7:H41)) ), "—")</f>
        <v>0.40332529599209627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60.544387739999998</v>
      </c>
      <c r="F46" s="16">
        <v>1.7039757200000001</v>
      </c>
      <c r="G46" s="14">
        <v>39.455612260000002</v>
      </c>
      <c r="H46" s="16">
        <v>1.7039757200000001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59.311389259999999</v>
      </c>
      <c r="F47" s="16">
        <v>1.84332641</v>
      </c>
      <c r="G47" s="14">
        <v>40.688610740000001</v>
      </c>
      <c r="H47" s="16">
        <v>1.84332641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36.119719099999998</v>
      </c>
      <c r="F48" s="16">
        <v>2.0342550500000001</v>
      </c>
      <c r="G48" s="14">
        <v>63.880280900000002</v>
      </c>
      <c r="H48" s="16">
        <v>2.0342550500000001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51.495845299999999</v>
      </c>
      <c r="F50" s="16">
        <v>2.0547522800000002</v>
      </c>
      <c r="G50" s="14">
        <v>48.504154700000001</v>
      </c>
      <c r="H50" s="16">
        <v>2.0547522800000002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46.897903800000002</v>
      </c>
      <c r="F51" s="16">
        <v>2.6174012000000002</v>
      </c>
      <c r="G51" s="14">
        <v>53.102096199999998</v>
      </c>
      <c r="H51" s="16">
        <v>2.6174012000000002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47.408806239999997</v>
      </c>
      <c r="F52" s="16">
        <v>2.8331994200000001</v>
      </c>
      <c r="G52" s="14">
        <v>52.591193760000003</v>
      </c>
      <c r="H52" s="16">
        <v>2.8331994200000001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58.9407499</v>
      </c>
      <c r="F53" s="16">
        <v>2.1235826800000002</v>
      </c>
      <c r="G53" s="14">
        <v>41.0592501</v>
      </c>
      <c r="H53" s="16">
        <v>2.1235826800000002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45.563005590000003</v>
      </c>
      <c r="F56" s="16">
        <v>2.94615319</v>
      </c>
      <c r="G56" s="14">
        <v>54.436994409999997</v>
      </c>
      <c r="H56" s="16">
        <v>2.94615319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47.632805769999997</v>
      </c>
      <c r="F61" s="16">
        <v>2.2912397699999998</v>
      </c>
      <c r="G61" s="14">
        <v>52.367194230000003</v>
      </c>
      <c r="H61" s="16">
        <v>2.2912397699999998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41.939579500000001</v>
      </c>
      <c r="F62" s="16">
        <v>2.4488566899999999</v>
      </c>
      <c r="G62" s="14">
        <v>58.060420499999999</v>
      </c>
      <c r="H62" s="16">
        <v>2.4488566899999999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59.132088580000001</v>
      </c>
      <c r="F66" s="16">
        <v>2.3734483100000001</v>
      </c>
      <c r="G66" s="14">
        <v>40.867911419999999</v>
      </c>
      <c r="H66" s="16">
        <v>2.3734483100000001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48.016553209999998</v>
      </c>
      <c r="F67" s="16">
        <v>2.18982498</v>
      </c>
      <c r="G67" s="14">
        <v>51.983446790000002</v>
      </c>
      <c r="H67" s="16">
        <v>2.18982498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48.49464571</v>
      </c>
      <c r="F70" s="16">
        <v>3.0943146399999999</v>
      </c>
      <c r="G70" s="14">
        <v>51.50535429</v>
      </c>
      <c r="H70" s="16">
        <v>3.0943146399999999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36.248393</v>
      </c>
      <c r="F72" s="16">
        <v>2.03588418</v>
      </c>
      <c r="G72" s="14">
        <v>63.751607</v>
      </c>
      <c r="H72" s="16">
        <v>2.03588418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64.621868739999996</v>
      </c>
      <c r="F73" s="16">
        <v>2.2072318900000001</v>
      </c>
      <c r="G73" s="14">
        <v>35.378131260000004</v>
      </c>
      <c r="H73" s="16">
        <v>2.2072318900000001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69.905821560000007</v>
      </c>
      <c r="F75" s="16">
        <v>2.6299682500000001</v>
      </c>
      <c r="G75" s="14">
        <v>30.09417844</v>
      </c>
      <c r="H75" s="16">
        <v>2.6299682500000001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58.600398550000001</v>
      </c>
      <c r="F76" s="16">
        <v>1.4190999500000001</v>
      </c>
      <c r="G76" s="14">
        <v>41.399601449999999</v>
      </c>
      <c r="H76" s="16">
        <v>1.4190999500000001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46.249683419999997</v>
      </c>
      <c r="F77" s="16">
        <v>2.4868804299999998</v>
      </c>
      <c r="G77" s="14">
        <v>53.750316580000003</v>
      </c>
      <c r="H77" s="16">
        <v>2.4868804299999998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59.606499390000003</v>
      </c>
      <c r="F81" s="16">
        <v>2.1133307399999999</v>
      </c>
      <c r="G81" s="14">
        <v>40.393500609999997</v>
      </c>
      <c r="H81" s="16">
        <v>2.1133307399999999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R96"/>
  <sheetViews>
    <sheetView zoomScale="80" workbookViewId="0">
      <pane xSplit="4" topLeftCell="E1" activePane="topRight" state="frozen"/>
      <selection pane="topRight" activeCell="A6" sqref="A6"/>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59.276082260000003</v>
      </c>
      <c r="F7" s="16">
        <v>1.63361158</v>
      </c>
      <c r="G7" s="14">
        <v>40.723917739999997</v>
      </c>
      <c r="H7" s="16">
        <v>1.63361158</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61.455716610000003</v>
      </c>
      <c r="F8" s="16">
        <v>2.0265361999999998</v>
      </c>
      <c r="G8" s="14">
        <v>38.544283389999997</v>
      </c>
      <c r="H8" s="16">
        <v>2.0265361999999998</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69.594298739999999</v>
      </c>
      <c r="F9" s="16">
        <v>2.0048559199999998</v>
      </c>
      <c r="G9" s="14">
        <v>30.405701260000001</v>
      </c>
      <c r="H9" s="16">
        <v>2.0048559199999998</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58.013925030000003</v>
      </c>
      <c r="F10" s="16">
        <v>1.5608611699999999</v>
      </c>
      <c r="G10" s="14">
        <v>41.986074969999997</v>
      </c>
      <c r="H10" s="16">
        <v>1.5608611699999999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75.484108230000004</v>
      </c>
      <c r="F11" s="16">
        <v>1.7124010300000001</v>
      </c>
      <c r="G11" s="14">
        <v>24.51589177</v>
      </c>
      <c r="H11" s="16">
        <v>1.7124010300000001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61.673668139999997</v>
      </c>
      <c r="F12" s="16">
        <v>1.90237005</v>
      </c>
      <c r="G12" s="14">
        <v>38.326331860000003</v>
      </c>
      <c r="H12" s="16">
        <v>1.90237005</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53.859627510000003</v>
      </c>
      <c r="F13" s="16">
        <v>2.6965515600000001</v>
      </c>
      <c r="G13" s="14">
        <v>46.140372489999997</v>
      </c>
      <c r="H13" s="16">
        <v>2.6965515600000001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55.90330376</v>
      </c>
      <c r="F14" s="16">
        <v>2.2571395999999999</v>
      </c>
      <c r="G14" s="14">
        <v>44.09669624</v>
      </c>
      <c r="H14" s="16">
        <v>2.2571395999999999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63.827389750000002</v>
      </c>
      <c r="F15" s="16">
        <v>2.2154131499999998</v>
      </c>
      <c r="G15" s="14">
        <v>36.172610249999998</v>
      </c>
      <c r="H15" s="16">
        <v>2.2154131499999998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65.027451690000007</v>
      </c>
      <c r="F16" s="16">
        <v>1.87298158</v>
      </c>
      <c r="G16" s="14">
        <v>34.972548310000001</v>
      </c>
      <c r="H16" s="16">
        <v>1.87298158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63.138725809999997</v>
      </c>
      <c r="F17" s="16">
        <v>1.92789272</v>
      </c>
      <c r="G17" s="14">
        <v>36.861274190000003</v>
      </c>
      <c r="H17" s="16">
        <v>1.92789272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69.411129860000003</v>
      </c>
      <c r="F18" s="16">
        <v>2.3036303500000002</v>
      </c>
      <c r="G18" s="14">
        <v>30.588870140000001</v>
      </c>
      <c r="H18" s="16">
        <v>2.3036303500000002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76.662027940000002</v>
      </c>
      <c r="F19" s="16">
        <v>1.9883604100000001</v>
      </c>
      <c r="G19" s="14">
        <v>23.337972059999998</v>
      </c>
      <c r="H19" s="16">
        <v>1.9883604100000001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64.137397530000001</v>
      </c>
      <c r="F20" s="16">
        <v>2.96966273</v>
      </c>
      <c r="G20" s="14">
        <v>35.862602469999999</v>
      </c>
      <c r="H20" s="16">
        <v>2.96966273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59.87107305</v>
      </c>
      <c r="F22" s="16">
        <v>2.8628719999999999</v>
      </c>
      <c r="G22" s="14">
        <v>40.12892695</v>
      </c>
      <c r="H22" s="16">
        <v>2.8628719999999999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64.510075240000006</v>
      </c>
      <c r="F23" s="16">
        <v>2.1365982799999998</v>
      </c>
      <c r="G23" s="14">
        <v>35.489924760000001</v>
      </c>
      <c r="H23" s="16">
        <v>2.1365982799999998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31.765175289999998</v>
      </c>
      <c r="F24" s="16">
        <v>2.0175983</v>
      </c>
      <c r="G24" s="14">
        <v>68.234824709999998</v>
      </c>
      <c r="H24" s="16">
        <v>2.0175983</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51.357440480000001</v>
      </c>
      <c r="F25" s="16">
        <v>2.2254447100000001</v>
      </c>
      <c r="G25" s="14">
        <v>48.642559519999999</v>
      </c>
      <c r="H25" s="16">
        <v>2.2254447100000001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75.117196530000001</v>
      </c>
      <c r="F26" s="16">
        <v>2.3477213099999998</v>
      </c>
      <c r="G26" s="14">
        <v>24.882803469999999</v>
      </c>
      <c r="H26" s="16">
        <v>2.3477213099999998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67.010442650000002</v>
      </c>
      <c r="F27" s="16">
        <v>2.5882219100000001</v>
      </c>
      <c r="G27" s="14">
        <v>32.989557349999998</v>
      </c>
      <c r="H27" s="16">
        <v>2.5882219100000001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83.169283359999994</v>
      </c>
      <c r="F28" s="16">
        <v>1.4046461400000001</v>
      </c>
      <c r="G28" s="14">
        <v>16.830716639999999</v>
      </c>
      <c r="H28" s="16">
        <v>1.4046461400000001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69.665678900000003</v>
      </c>
      <c r="F29" s="16">
        <v>2.1034669699999999</v>
      </c>
      <c r="G29" s="14">
        <v>30.3343211</v>
      </c>
      <c r="H29" s="16">
        <v>2.1034669699999999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59.12729161</v>
      </c>
      <c r="F30" s="16">
        <v>2.6251881799999999</v>
      </c>
      <c r="G30" s="14">
        <v>40.87270839</v>
      </c>
      <c r="H30" s="16">
        <v>2.6251881799999999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68.642917609999998</v>
      </c>
      <c r="F31" s="16">
        <v>2.5056030200000001</v>
      </c>
      <c r="G31" s="14">
        <v>31.357082389999999</v>
      </c>
      <c r="H31" s="16">
        <v>2.5056030200000001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66.731166130000005</v>
      </c>
      <c r="F33" s="16">
        <v>2.4650952199999998</v>
      </c>
      <c r="G33" s="14">
        <v>33.268833870000002</v>
      </c>
      <c r="H33" s="16">
        <v>2.4650952199999998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76.29982244</v>
      </c>
      <c r="F34" s="16">
        <v>1.9096810799999999</v>
      </c>
      <c r="G34" s="14">
        <v>23.70017756</v>
      </c>
      <c r="H34" s="16">
        <v>1.9096810799999999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59.313118860000003</v>
      </c>
      <c r="F35" s="16">
        <v>2.7672367100000002</v>
      </c>
      <c r="G35" s="14">
        <v>40.686881139999997</v>
      </c>
      <c r="H35" s="16">
        <v>2.7672367100000002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62.016459179999998</v>
      </c>
      <c r="F36" s="16">
        <v>2.1217816900000002</v>
      </c>
      <c r="G36" s="14">
        <v>37.983540820000002</v>
      </c>
      <c r="H36" s="16">
        <v>2.1217816900000002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72.009167239999996</v>
      </c>
      <c r="F37" s="16">
        <v>2.13882503</v>
      </c>
      <c r="G37" s="14">
        <v>27.99083276</v>
      </c>
      <c r="H37" s="16">
        <v>2.13882503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83.123293689999997</v>
      </c>
      <c r="F39" s="16">
        <v>2.1480325599999999</v>
      </c>
      <c r="G39" s="14">
        <v>16.876706309999999</v>
      </c>
      <c r="H39" s="16">
        <v>2.1480325599999999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62.067947830000001</v>
      </c>
      <c r="F40" s="16">
        <v>2.1565681400000001</v>
      </c>
      <c r="G40" s="14">
        <v>37.932052169999999</v>
      </c>
      <c r="H40" s="16">
        <v>2.1565681400000001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62.013737120000002</v>
      </c>
      <c r="F41" s="16">
        <v>2.3761709199999999</v>
      </c>
      <c r="G41" s="14">
        <v>37.986262879999998</v>
      </c>
      <c r="H41" s="16">
        <v>2.3761709199999999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64.727379377187503</v>
      </c>
      <c r="F42" s="16">
        <f>IF(COUNT(F7:F41) &gt; 0, SQRT(SUMSQ(F7:F41)/(COUNT(F7:F41)*COUNT(F7:F41)) ), "—")</f>
        <v>0.39192510159056526</v>
      </c>
      <c r="G42" s="14">
        <f>IF(COUNT(G7:G41) &gt; 0, AVERAGE(G7:G41), "—")</f>
        <v>35.272620622812489</v>
      </c>
      <c r="H42" s="16">
        <f>IF(COUNT(H7:H41) &gt; 0, SQRT(SUMSQ(H7:H41)/(COUNT(H7:H41)*COUNT(H7:H41)) ), "—")</f>
        <v>0.39192510159056526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78.160988259999996</v>
      </c>
      <c r="F46" s="16">
        <v>1.5834333199999999</v>
      </c>
      <c r="G46" s="14">
        <v>21.83901174</v>
      </c>
      <c r="H46" s="16">
        <v>1.5834333199999999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73.763284279999993</v>
      </c>
      <c r="F47" s="16">
        <v>1.64854374</v>
      </c>
      <c r="G47" s="14">
        <v>26.236715719999999</v>
      </c>
      <c r="H47" s="16">
        <v>1.64854374</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58.024754620000003</v>
      </c>
      <c r="F48" s="16">
        <v>2.4798701799999998</v>
      </c>
      <c r="G48" s="14">
        <v>41.975245379999997</v>
      </c>
      <c r="H48" s="16">
        <v>2.4798701799999998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79.112936140000002</v>
      </c>
      <c r="F50" s="16">
        <v>1.46626879</v>
      </c>
      <c r="G50" s="14">
        <v>20.887063860000001</v>
      </c>
      <c r="H50" s="16">
        <v>1.46626879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75.718580450000005</v>
      </c>
      <c r="F51" s="16">
        <v>2.0520657600000001</v>
      </c>
      <c r="G51" s="14">
        <v>24.281419549999999</v>
      </c>
      <c r="H51" s="16">
        <v>2.0520657600000001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78.201459689999993</v>
      </c>
      <c r="F52" s="16">
        <v>1.8750495199999999</v>
      </c>
      <c r="G52" s="14">
        <v>21.79854031</v>
      </c>
      <c r="H52" s="16">
        <v>1.8750495199999999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75.502004769999999</v>
      </c>
      <c r="F53" s="16">
        <v>2.0999263500000001</v>
      </c>
      <c r="G53" s="14">
        <v>24.497995230000001</v>
      </c>
      <c r="H53" s="16">
        <v>2.0999263500000001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59.489234230000001</v>
      </c>
      <c r="F56" s="16">
        <v>2.4856012199999999</v>
      </c>
      <c r="G56" s="14">
        <v>40.510765769999999</v>
      </c>
      <c r="H56" s="16">
        <v>2.4856012199999999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68.635869040000003</v>
      </c>
      <c r="F61" s="16">
        <v>2.09112849</v>
      </c>
      <c r="G61" s="14">
        <v>31.364130960000001</v>
      </c>
      <c r="H61" s="16">
        <v>2.09112849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67.923412119999995</v>
      </c>
      <c r="F62" s="16">
        <v>2.67365706</v>
      </c>
      <c r="G62" s="14">
        <v>32.076587879999998</v>
      </c>
      <c r="H62" s="16">
        <v>2.67365706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80.782603399999999</v>
      </c>
      <c r="F66" s="16">
        <v>1.9014727499999999</v>
      </c>
      <c r="G66" s="14">
        <v>19.217396600000001</v>
      </c>
      <c r="H66" s="16">
        <v>1.9014727499999999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81.563996349999996</v>
      </c>
      <c r="F67" s="16">
        <v>1.9163642999999999</v>
      </c>
      <c r="G67" s="14">
        <v>18.43600365</v>
      </c>
      <c r="H67" s="16">
        <v>1.9163642999999999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71.222427760000002</v>
      </c>
      <c r="F70" s="16">
        <v>2.2159068</v>
      </c>
      <c r="G70" s="14">
        <v>28.777572240000001</v>
      </c>
      <c r="H70" s="16">
        <v>2.2159068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52.602786299999998</v>
      </c>
      <c r="F72" s="16">
        <v>2.0709988699999999</v>
      </c>
      <c r="G72" s="14">
        <v>47.397213700000002</v>
      </c>
      <c r="H72" s="16">
        <v>2.0709988699999999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78.832753330000003</v>
      </c>
      <c r="F73" s="16">
        <v>2.3061243899999999</v>
      </c>
      <c r="G73" s="14">
        <v>21.167246670000001</v>
      </c>
      <c r="H73" s="16">
        <v>2.3061243899999999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83.174232459999999</v>
      </c>
      <c r="F75" s="16">
        <v>2.10315078</v>
      </c>
      <c r="G75" s="14">
        <v>16.825767540000001</v>
      </c>
      <c r="H75" s="16">
        <v>2.10315078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74.768867979999996</v>
      </c>
      <c r="F76" s="16">
        <v>1.5433975</v>
      </c>
      <c r="G76" s="14">
        <v>25.23113202</v>
      </c>
      <c r="H76" s="16">
        <v>1.5433975</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78.646326639999998</v>
      </c>
      <c r="F77" s="16">
        <v>1.85832474</v>
      </c>
      <c r="G77" s="14">
        <v>21.353673359999998</v>
      </c>
      <c r="H77" s="16">
        <v>1.85832474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72.711009140000002</v>
      </c>
      <c r="F81" s="16">
        <v>2.0473468499999998</v>
      </c>
      <c r="G81" s="14">
        <v>27.288990859999998</v>
      </c>
      <c r="H81" s="16">
        <v>2.0473468499999998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3564</v>
      </c>
      <c r="C8" s="14">
        <f>(2949/B8*100)</f>
        <v>82.744107744107737</v>
      </c>
      <c r="D8" s="15">
        <v>615</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4899</v>
      </c>
      <c r="C9" s="14">
        <f>(4093/B9*100)</f>
        <v>83.547662788324146</v>
      </c>
      <c r="D9" s="15">
        <v>806</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10036</v>
      </c>
      <c r="C10" s="14">
        <f>(8320/B10*100)</f>
        <v>82.901554404145074</v>
      </c>
      <c r="D10" s="15">
        <v>1716</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3553</v>
      </c>
      <c r="C11" s="14">
        <f>(2927/B11*100)</f>
        <v>82.381086405854205</v>
      </c>
      <c r="D11" s="15">
        <v>626</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3472</v>
      </c>
      <c r="C12" s="14">
        <f>(2893/B12*100)</f>
        <v>83.323732718894007</v>
      </c>
      <c r="D12" s="15">
        <v>579</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(3000/B13*100)</f>
        <v>84.29334082607474</v>
      </c>
      <c r="D13" s="15">
        <v>559</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2799</v>
      </c>
      <c r="C14" s="14">
        <f>(2320/B14*100)</f>
        <v>82.886745266166486</v>
      </c>
      <c r="D14" s="15">
        <v>479</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3019</v>
      </c>
      <c r="C15" s="14">
        <f>(2496/B15*100)</f>
        <v>82.676382908247774</v>
      </c>
      <c r="D15" s="15">
        <v>523</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2997</v>
      </c>
      <c r="C16" s="14">
        <f>(2483/B16*100)</f>
        <v>82.849516182849513</v>
      </c>
      <c r="D16" s="15">
        <v>514</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3307</v>
      </c>
      <c r="C17" s="14">
        <f>(2756/B17*100)</f>
        <v>83.338373147868168</v>
      </c>
      <c r="D17" s="15">
        <v>551</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2826</v>
      </c>
      <c r="C18" s="14">
        <f>(2338/B18*100)</f>
        <v>82.731776362349606</v>
      </c>
      <c r="D18" s="15">
        <v>488</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2808</v>
      </c>
      <c r="C19" s="14">
        <f>(2329/B19*100)</f>
        <v>82.941595441595439</v>
      </c>
      <c r="D19" s="15">
        <v>479</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1630</v>
      </c>
      <c r="C20" s="14">
        <f>(1351/B20*100)</f>
        <v>82.883435582822088</v>
      </c>
      <c r="D20" s="15">
        <v>279</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5791</v>
      </c>
      <c r="C23" s="14">
        <f>(4785/B23*100)</f>
        <v>82.628216197547914</v>
      </c>
      <c r="D23" s="15">
        <v>1006</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3338</v>
      </c>
      <c r="C24" s="14">
        <f>(2753/B24*100)</f>
        <v>82.474535650089877</v>
      </c>
      <c r="D24" s="15">
        <v>585</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2912</v>
      </c>
      <c r="C25" s="14">
        <f>(2397/B25*100)</f>
        <v>82.314560439560438</v>
      </c>
      <c r="D25" s="15">
        <v>515</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2450</v>
      </c>
      <c r="C26" s="14">
        <f>(2032/B26*100)</f>
        <v>82.938775510204081</v>
      </c>
      <c r="D26" s="15">
        <v>418</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2616</v>
      </c>
      <c r="C27" s="14">
        <f>(2169/B27*100)</f>
        <v>82.912844036697251</v>
      </c>
      <c r="D27" s="15">
        <v>447</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3765</v>
      </c>
      <c r="C28" s="14">
        <f>(3158/B28*100)</f>
        <v>83.877822045152726</v>
      </c>
      <c r="D28" s="15">
        <v>607</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2685</v>
      </c>
      <c r="C29" s="14">
        <f>(2225/B29*100)</f>
        <v>82.86778398510242</v>
      </c>
      <c r="D29" s="15">
        <v>460</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2263</v>
      </c>
      <c r="C30" s="14">
        <f>(1874/B30*100)</f>
        <v>82.810428634555905</v>
      </c>
      <c r="D30" s="15">
        <v>389</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2750</v>
      </c>
      <c r="C31" s="14">
        <f>(2267/B31*100)</f>
        <v>82.436363636363637</v>
      </c>
      <c r="D31" s="15">
        <v>483</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3315</v>
      </c>
      <c r="C34" s="14">
        <f>(2747/B34*100)</f>
        <v>82.865761689291105</v>
      </c>
      <c r="D34" s="15">
        <v>568</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3505</v>
      </c>
      <c r="C35" s="14">
        <f>(2910/B35*100)</f>
        <v>83.024251069900146</v>
      </c>
      <c r="D35" s="15">
        <v>595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3332</v>
      </c>
      <c r="C36" s="14">
        <f>(2776/B36*100)</f>
        <v>83.313325330132045</v>
      </c>
      <c r="D36" s="15">
        <v>556</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2727</v>
      </c>
      <c r="C37" s="14">
        <f>(2245/B37*100)</f>
        <v>82.324899156582319</v>
      </c>
      <c r="D37" s="15">
        <v>482</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(5964/B40*100)</f>
        <v>82.43261921216309</v>
      </c>
      <c r="D40" s="15">
        <v>1271</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2858</v>
      </c>
      <c r="C41" s="14">
        <f>(2367/B41*100)</f>
        <v>82.820153953813858</v>
      </c>
      <c r="D41" s="15">
        <v>491</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3105</v>
      </c>
      <c r="C47" s="14">
        <f>(2586/B47*100)</f>
        <v>83.285024154589365</v>
      </c>
      <c r="D47" s="15">
        <v>519</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5159</v>
      </c>
      <c r="C48" s="14">
        <f>(4249/B48*100)</f>
        <v>82.36092265943013</v>
      </c>
      <c r="D48" s="15">
        <v>910</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3372</v>
      </c>
      <c r="C51" s="14">
        <f>(2873/B51*100)</f>
        <v>85.201660735468565</v>
      </c>
      <c r="D51" s="15">
        <v>499</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2796</v>
      </c>
      <c r="C52" s="14">
        <f>(2342/B52*100)</f>
        <v>83.762517882689565</v>
      </c>
      <c r="D52" s="15">
        <v>454</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(2314/B53*100)</f>
        <v>82.319459267164703</v>
      </c>
      <c r="D53" s="15">
        <v>497</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2246</v>
      </c>
      <c r="C62" s="14">
        <f>(1872/B62*100)</f>
        <v>83.348174532502227</v>
      </c>
      <c r="D62" s="15">
        <v>374</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3511</v>
      </c>
      <c r="C67" s="14">
        <f>(2931/B67*100)</f>
        <v>83.480489888920545</v>
      </c>
      <c r="D67" s="15">
        <v>580</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3597</v>
      </c>
      <c r="C73" s="14">
        <f>(3002/B73*100)</f>
        <v>83.458437586877949</v>
      </c>
      <c r="D73" s="15">
        <v>595</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7052</v>
      </c>
      <c r="C76" s="14">
        <f>(5832/B76*100)</f>
        <v>82.699943278502559</v>
      </c>
      <c r="D76" s="15">
        <v>1220</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2908</v>
      </c>
      <c r="C77" s="14">
        <f>(2409/B77*100)</f>
        <v>82.840440165061906</v>
      </c>
      <c r="D77" s="15">
        <v>499</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267</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230</v>
      </c>
      <c r="F4" s="24"/>
      <c r="G4" s="23" t="s">
        <v>231</v>
      </c>
      <c r="H4" s="24"/>
      <c r="I4" s="23" t="s">
        <v>232</v>
      </c>
      <c r="J4" s="24"/>
      <c r="K4" s="23" t="s">
        <v>233</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(6146/B7*100)</f>
        <v>83.426089317225461</v>
      </c>
      <c r="D7" s="15">
        <v>1221</v>
      </c>
      <c r="E7" s="14">
        <v>29.50578346</v>
      </c>
      <c r="F7" s="16">
        <v>1.49617354</v>
      </c>
      <c r="G7" s="14">
        <v>11.35211267</v>
      </c>
      <c r="H7" s="16">
        <v>1.07286971</v>
      </c>
      <c r="I7" s="14">
        <v>12.24952025</v>
      </c>
      <c r="J7" s="16">
        <v>0.89844219999999997</v>
      </c>
      <c r="K7" s="14">
        <v>46.892583620000003</v>
      </c>
      <c r="L7" s="16">
        <v>1.5688142599999999</v>
      </c>
      <c r="M7" s="14" t="s">
        <v>139</v>
      </c>
      <c r="N7" s="16" t="s">
        <v>139</v>
      </c>
      <c r="O7" s="14">
        <v>0</v>
      </c>
      <c r="P7" s="16">
        <v>0</v>
      </c>
      <c r="Q7" s="14">
        <v>0</v>
      </c>
      <c r="R7" s="16">
        <v>0</v>
      </c>
      <c r="S7" s="14">
        <v>0</v>
      </c>
      <c r="T7" s="16">
        <v>0</v>
      </c>
      <c r="U7" s="14">
        <v>0</v>
      </c>
      <c r="V7" s="16">
        <v>0</v>
      </c>
    </row>
    <row r="8" spans="1:22" x14ac:dyDescent="0.25">
      <c r="A8" s="11" t="s">
        <v>140</v>
      </c>
      <c r="B8" s="13">
        <v>3564</v>
      </c>
      <c r="C8" s="14">
        <f>(2949/B8*100)</f>
        <v>82.744107744107737</v>
      </c>
      <c r="D8" s="15">
        <v>615</v>
      </c>
      <c r="E8" s="14">
        <v>25.253891280000001</v>
      </c>
      <c r="F8" s="16">
        <v>1.92016743</v>
      </c>
      <c r="G8" s="14">
        <v>11.56352781</v>
      </c>
      <c r="H8" s="16">
        <v>1.5595738699999999</v>
      </c>
      <c r="I8" s="14">
        <v>13.217524790000001</v>
      </c>
      <c r="J8" s="16">
        <v>1.5179540899999999</v>
      </c>
      <c r="K8" s="14">
        <v>49.965056130000001</v>
      </c>
      <c r="L8" s="16">
        <v>2.3320118500000002</v>
      </c>
      <c r="M8" s="14" t="s">
        <v>139</v>
      </c>
      <c r="N8" s="16" t="s">
        <v>139</v>
      </c>
      <c r="O8" s="14">
        <v>0</v>
      </c>
      <c r="P8" s="16">
        <v>0</v>
      </c>
      <c r="Q8" s="14">
        <v>0</v>
      </c>
      <c r="R8" s="16">
        <v>0</v>
      </c>
      <c r="S8" s="14">
        <v>0</v>
      </c>
      <c r="T8" s="16">
        <v>0</v>
      </c>
      <c r="U8" s="14">
        <v>0</v>
      </c>
      <c r="V8" s="16">
        <v>0</v>
      </c>
    </row>
    <row r="9" spans="1:22" x14ac:dyDescent="0.25">
      <c r="A9" s="11" t="s">
        <v>141</v>
      </c>
      <c r="B9" s="13">
        <v>4899</v>
      </c>
      <c r="C9" s="14">
        <f>(4093/B9*100)</f>
        <v>83.547662788324146</v>
      </c>
      <c r="D9" s="15">
        <v>806</v>
      </c>
      <c r="E9" s="14">
        <v>31.62173396</v>
      </c>
      <c r="F9" s="16">
        <v>1.7155240700000001</v>
      </c>
      <c r="G9" s="14">
        <v>7.4346808800000002</v>
      </c>
      <c r="H9" s="16">
        <v>0.78518831</v>
      </c>
      <c r="I9" s="14">
        <v>17.64103557</v>
      </c>
      <c r="J9" s="16">
        <v>1.31104051</v>
      </c>
      <c r="K9" s="14">
        <v>43.302549589999998</v>
      </c>
      <c r="L9" s="16">
        <v>1.74379986</v>
      </c>
      <c r="M9" s="14" t="s">
        <v>139</v>
      </c>
      <c r="N9" s="16" t="s">
        <v>139</v>
      </c>
      <c r="O9" s="14">
        <v>0</v>
      </c>
      <c r="P9" s="16">
        <v>0</v>
      </c>
      <c r="Q9" s="14">
        <v>0</v>
      </c>
      <c r="R9" s="16">
        <v>0</v>
      </c>
      <c r="S9" s="14">
        <v>0</v>
      </c>
      <c r="T9" s="16">
        <v>0</v>
      </c>
      <c r="U9" s="14">
        <v>0</v>
      </c>
      <c r="V9" s="16">
        <v>0</v>
      </c>
    </row>
    <row r="10" spans="1:22" x14ac:dyDescent="0.25">
      <c r="A10" s="11" t="s">
        <v>142</v>
      </c>
      <c r="B10" s="13">
        <v>10036</v>
      </c>
      <c r="C10" s="14">
        <f>(8320/B10*100)</f>
        <v>82.901554404145074</v>
      </c>
      <c r="D10" s="15">
        <v>1716</v>
      </c>
      <c r="E10" s="14">
        <v>26.195900569999999</v>
      </c>
      <c r="F10" s="16">
        <v>1.47804538</v>
      </c>
      <c r="G10" s="14">
        <v>9.7668828899999998</v>
      </c>
      <c r="H10" s="16">
        <v>0.94101668000000005</v>
      </c>
      <c r="I10" s="14">
        <v>15.524380170000001</v>
      </c>
      <c r="J10" s="16">
        <v>1.3998453900000001</v>
      </c>
      <c r="K10" s="14">
        <v>48.512836380000003</v>
      </c>
      <c r="L10" s="16">
        <v>1.79537507</v>
      </c>
      <c r="M10" s="14" t="s">
        <v>139</v>
      </c>
      <c r="N10" s="16" t="s">
        <v>139</v>
      </c>
      <c r="O10" s="14">
        <v>0</v>
      </c>
      <c r="P10" s="16">
        <v>0</v>
      </c>
      <c r="Q10" s="14">
        <v>0</v>
      </c>
      <c r="R10" s="16">
        <v>0</v>
      </c>
      <c r="S10" s="14">
        <v>0</v>
      </c>
      <c r="T10" s="16">
        <v>0</v>
      </c>
      <c r="U10" s="14">
        <v>0</v>
      </c>
      <c r="V10" s="16">
        <v>0</v>
      </c>
    </row>
    <row r="11" spans="1:22" x14ac:dyDescent="0.25">
      <c r="A11" s="11" t="s">
        <v>143</v>
      </c>
      <c r="B11" s="13">
        <v>3553</v>
      </c>
      <c r="C11" s="14">
        <f>(2927/B11*100)</f>
        <v>82.381086405854205</v>
      </c>
      <c r="D11" s="15">
        <v>626</v>
      </c>
      <c r="E11" s="14">
        <v>45.392651960000002</v>
      </c>
      <c r="F11" s="16">
        <v>2.3840263500000001</v>
      </c>
      <c r="G11" s="14">
        <v>9.7426675700000001</v>
      </c>
      <c r="H11" s="16">
        <v>1.3072748999999999</v>
      </c>
      <c r="I11" s="14">
        <v>15.01292366</v>
      </c>
      <c r="J11" s="16">
        <v>1.77214786</v>
      </c>
      <c r="K11" s="14">
        <v>29.851756810000001</v>
      </c>
      <c r="L11" s="16">
        <v>2.1916473500000002</v>
      </c>
      <c r="M11" s="14" t="s">
        <v>139</v>
      </c>
      <c r="N11" s="16" t="s">
        <v>139</v>
      </c>
      <c r="O11" s="14">
        <v>0</v>
      </c>
      <c r="P11" s="16">
        <v>0</v>
      </c>
      <c r="Q11" s="14">
        <v>0</v>
      </c>
      <c r="R11" s="16">
        <v>0</v>
      </c>
      <c r="S11" s="14">
        <v>0</v>
      </c>
      <c r="T11" s="16">
        <v>0</v>
      </c>
      <c r="U11" s="14">
        <v>0</v>
      </c>
      <c r="V11" s="16">
        <v>0</v>
      </c>
    </row>
    <row r="12" spans="1:22" x14ac:dyDescent="0.25">
      <c r="A12" s="11" t="s">
        <v>144</v>
      </c>
      <c r="B12" s="13">
        <v>3472</v>
      </c>
      <c r="C12" s="14">
        <f>(2893/B12*100)</f>
        <v>83.323732718894007</v>
      </c>
      <c r="D12" s="15">
        <v>579</v>
      </c>
      <c r="E12" s="14">
        <v>24.39831573</v>
      </c>
      <c r="F12" s="16">
        <v>2.0568594500000001</v>
      </c>
      <c r="G12" s="14">
        <v>11.604683440000001</v>
      </c>
      <c r="H12" s="16">
        <v>1.6627366400000001</v>
      </c>
      <c r="I12" s="14">
        <v>13.00303165</v>
      </c>
      <c r="J12" s="16">
        <v>1.5281151900000001</v>
      </c>
      <c r="K12" s="14">
        <v>50.993969180000001</v>
      </c>
      <c r="L12" s="16">
        <v>2.0471566399999999</v>
      </c>
      <c r="M12" s="14" t="s">
        <v>139</v>
      </c>
      <c r="N12" s="16" t="s">
        <v>139</v>
      </c>
      <c r="O12" s="14">
        <v>0</v>
      </c>
      <c r="P12" s="16">
        <v>0</v>
      </c>
      <c r="Q12" s="14">
        <v>0</v>
      </c>
      <c r="R12" s="16">
        <v>0</v>
      </c>
      <c r="S12" s="14">
        <v>0</v>
      </c>
      <c r="T12" s="16">
        <v>0</v>
      </c>
      <c r="U12" s="14">
        <v>0</v>
      </c>
      <c r="V12" s="16">
        <v>0</v>
      </c>
    </row>
    <row r="13" spans="1:22" x14ac:dyDescent="0.25">
      <c r="A13" s="11" t="s">
        <v>145</v>
      </c>
      <c r="B13" s="13">
        <v>3559</v>
      </c>
      <c r="C13" s="14">
        <f>(3000/B13*100)</f>
        <v>84.29334082607474</v>
      </c>
      <c r="D13" s="15">
        <v>559</v>
      </c>
      <c r="E13" s="14">
        <v>23.935783789999999</v>
      </c>
      <c r="F13" s="16">
        <v>2.1323990799999999</v>
      </c>
      <c r="G13" s="14">
        <v>10.108482370000001</v>
      </c>
      <c r="H13" s="16">
        <v>1.5957180799999999</v>
      </c>
      <c r="I13" s="14">
        <v>15.4452686</v>
      </c>
      <c r="J13" s="16">
        <v>1.8942620800000001</v>
      </c>
      <c r="K13" s="14">
        <v>50.510465240000002</v>
      </c>
      <c r="L13" s="16">
        <v>2.8900105800000002</v>
      </c>
      <c r="M13" s="14" t="s">
        <v>139</v>
      </c>
      <c r="N13" s="16" t="s">
        <v>139</v>
      </c>
      <c r="O13" s="14">
        <v>0</v>
      </c>
      <c r="P13" s="16">
        <v>0</v>
      </c>
      <c r="Q13" s="14">
        <v>0</v>
      </c>
      <c r="R13" s="16">
        <v>0</v>
      </c>
      <c r="S13" s="14">
        <v>0</v>
      </c>
      <c r="T13" s="16">
        <v>0</v>
      </c>
      <c r="U13" s="14">
        <v>0</v>
      </c>
      <c r="V13" s="16">
        <v>0</v>
      </c>
    </row>
    <row r="14" spans="1:22" x14ac:dyDescent="0.25">
      <c r="A14" s="11" t="s">
        <v>146</v>
      </c>
      <c r="B14" s="13">
        <v>2799</v>
      </c>
      <c r="C14" s="14">
        <f>(2320/B14*100)</f>
        <v>82.886745266166486</v>
      </c>
      <c r="D14" s="15">
        <v>479</v>
      </c>
      <c r="E14" s="14">
        <v>21.559631509999999</v>
      </c>
      <c r="F14" s="16">
        <v>1.90032439</v>
      </c>
      <c r="G14" s="14">
        <v>9.9151376599999992</v>
      </c>
      <c r="H14" s="16">
        <v>1.2033019199999999</v>
      </c>
      <c r="I14" s="14">
        <v>9.1004244799999991</v>
      </c>
      <c r="J14" s="16">
        <v>1.48156475</v>
      </c>
      <c r="K14" s="14">
        <v>59.424806349999997</v>
      </c>
      <c r="L14" s="16">
        <v>2.3385787599999999</v>
      </c>
      <c r="M14" s="14" t="s">
        <v>139</v>
      </c>
      <c r="N14" s="16" t="s">
        <v>139</v>
      </c>
      <c r="O14" s="14">
        <v>0</v>
      </c>
      <c r="P14" s="16">
        <v>0</v>
      </c>
      <c r="Q14" s="14">
        <v>0</v>
      </c>
      <c r="R14" s="16">
        <v>0</v>
      </c>
      <c r="S14" s="14">
        <v>0</v>
      </c>
      <c r="T14" s="16">
        <v>0</v>
      </c>
      <c r="U14" s="14">
        <v>0</v>
      </c>
      <c r="V14" s="16">
        <v>0</v>
      </c>
    </row>
    <row r="15" spans="1:22" x14ac:dyDescent="0.25">
      <c r="A15" s="11" t="s">
        <v>147</v>
      </c>
      <c r="B15" s="13">
        <v>3019</v>
      </c>
      <c r="C15" s="14">
        <f>(2496/B15*100)</f>
        <v>82.676382908247774</v>
      </c>
      <c r="D15" s="15">
        <v>523</v>
      </c>
      <c r="E15" s="14">
        <v>28.538472030000001</v>
      </c>
      <c r="F15" s="16">
        <v>2.2082588300000001</v>
      </c>
      <c r="G15" s="14">
        <v>6.8980739599999996</v>
      </c>
      <c r="H15" s="16">
        <v>1.21910133</v>
      </c>
      <c r="I15" s="14">
        <v>14.03969062</v>
      </c>
      <c r="J15" s="16">
        <v>1.5492747200000001</v>
      </c>
      <c r="K15" s="14">
        <v>50.523763389999999</v>
      </c>
      <c r="L15" s="16">
        <v>2.26273385</v>
      </c>
      <c r="M15" s="14" t="s">
        <v>139</v>
      </c>
      <c r="N15" s="16" t="s">
        <v>139</v>
      </c>
      <c r="O15" s="14">
        <v>0</v>
      </c>
      <c r="P15" s="16">
        <v>0</v>
      </c>
      <c r="Q15" s="14">
        <v>0</v>
      </c>
      <c r="R15" s="16">
        <v>0</v>
      </c>
      <c r="S15" s="14">
        <v>0</v>
      </c>
      <c r="T15" s="16">
        <v>0</v>
      </c>
      <c r="U15" s="14">
        <v>0</v>
      </c>
      <c r="V15" s="16">
        <v>0</v>
      </c>
    </row>
    <row r="16" spans="1:22" x14ac:dyDescent="0.25">
      <c r="A16" s="11" t="s">
        <v>148</v>
      </c>
      <c r="B16" s="13">
        <v>2997</v>
      </c>
      <c r="C16" s="14">
        <f>(2483/B16*100)</f>
        <v>82.849516182849513</v>
      </c>
      <c r="D16" s="15">
        <v>514</v>
      </c>
      <c r="E16" s="14">
        <v>35.228642960000002</v>
      </c>
      <c r="F16" s="16">
        <v>2.30620023</v>
      </c>
      <c r="G16" s="14">
        <v>8.6574489499999991</v>
      </c>
      <c r="H16" s="16">
        <v>1.21056706</v>
      </c>
      <c r="I16" s="14">
        <v>15.261698750000001</v>
      </c>
      <c r="J16" s="16">
        <v>1.6281359500000001</v>
      </c>
      <c r="K16" s="14">
        <v>40.852209340000002</v>
      </c>
      <c r="L16" s="16">
        <v>2.0101723699999998</v>
      </c>
      <c r="M16" s="14" t="s">
        <v>139</v>
      </c>
      <c r="N16" s="16" t="s">
        <v>139</v>
      </c>
      <c r="O16" s="14">
        <v>0</v>
      </c>
      <c r="P16" s="16">
        <v>0</v>
      </c>
      <c r="Q16" s="14">
        <v>0</v>
      </c>
      <c r="R16" s="16">
        <v>0</v>
      </c>
      <c r="S16" s="14">
        <v>0</v>
      </c>
      <c r="T16" s="16">
        <v>0</v>
      </c>
      <c r="U16" s="14">
        <v>0</v>
      </c>
      <c r="V16" s="16">
        <v>0</v>
      </c>
    </row>
    <row r="17" spans="1:22" x14ac:dyDescent="0.25">
      <c r="A17" s="11" t="s">
        <v>149</v>
      </c>
      <c r="B17" s="13">
        <v>3307</v>
      </c>
      <c r="C17" s="14">
        <f>(2756/B17*100)</f>
        <v>83.338373147868168</v>
      </c>
      <c r="D17" s="15">
        <v>551</v>
      </c>
      <c r="E17" s="14">
        <v>29.01631463</v>
      </c>
      <c r="F17" s="16">
        <v>2.35495762</v>
      </c>
      <c r="G17" s="14">
        <v>9.2890311800000003</v>
      </c>
      <c r="H17" s="16">
        <v>1.09546297</v>
      </c>
      <c r="I17" s="14">
        <v>11.38671137</v>
      </c>
      <c r="J17" s="16">
        <v>1.3530279000000001</v>
      </c>
      <c r="K17" s="14">
        <v>50.30794281</v>
      </c>
      <c r="L17" s="16">
        <v>2.4263606200000001</v>
      </c>
      <c r="M17" s="14" t="s">
        <v>139</v>
      </c>
      <c r="N17" s="16" t="s">
        <v>139</v>
      </c>
      <c r="O17" s="14">
        <v>0</v>
      </c>
      <c r="P17" s="16">
        <v>0</v>
      </c>
      <c r="Q17" s="14">
        <v>0</v>
      </c>
      <c r="R17" s="16">
        <v>0</v>
      </c>
      <c r="S17" s="14">
        <v>0</v>
      </c>
      <c r="T17" s="16">
        <v>0</v>
      </c>
      <c r="U17" s="14">
        <v>0</v>
      </c>
      <c r="V17" s="16">
        <v>0</v>
      </c>
    </row>
    <row r="18" spans="1:22" x14ac:dyDescent="0.25">
      <c r="A18" s="11" t="s">
        <v>150</v>
      </c>
      <c r="B18" s="13">
        <v>2826</v>
      </c>
      <c r="C18" s="14">
        <f>(2338/B18*100)</f>
        <v>82.731776362349606</v>
      </c>
      <c r="D18" s="15">
        <v>488</v>
      </c>
      <c r="E18" s="14">
        <v>46.91890377</v>
      </c>
      <c r="F18" s="16">
        <v>2.4825445799999999</v>
      </c>
      <c r="G18" s="14">
        <v>10.679886679999999</v>
      </c>
      <c r="H18" s="16">
        <v>1.8934838599999999</v>
      </c>
      <c r="I18" s="14">
        <v>12.783326499999999</v>
      </c>
      <c r="J18" s="16">
        <v>1.6554304900000001</v>
      </c>
      <c r="K18" s="14">
        <v>29.61788305</v>
      </c>
      <c r="L18" s="16">
        <v>2.5700583400000001</v>
      </c>
      <c r="M18" s="14" t="s">
        <v>139</v>
      </c>
      <c r="N18" s="16" t="s">
        <v>139</v>
      </c>
      <c r="O18" s="14">
        <v>0</v>
      </c>
      <c r="P18" s="16">
        <v>0</v>
      </c>
      <c r="Q18" s="14">
        <v>0</v>
      </c>
      <c r="R18" s="16">
        <v>0</v>
      </c>
      <c r="S18" s="14">
        <v>0</v>
      </c>
      <c r="T18" s="16">
        <v>0</v>
      </c>
      <c r="U18" s="14">
        <v>0</v>
      </c>
      <c r="V18" s="16">
        <v>0</v>
      </c>
    </row>
    <row r="19" spans="1:22" x14ac:dyDescent="0.25">
      <c r="A19" s="11" t="s">
        <v>151</v>
      </c>
      <c r="B19" s="13">
        <v>2808</v>
      </c>
      <c r="C19" s="14">
        <f>(2329/B19*100)</f>
        <v>82.941595441595439</v>
      </c>
      <c r="D19" s="15">
        <v>479</v>
      </c>
      <c r="E19" s="14">
        <v>45.924201940000003</v>
      </c>
      <c r="F19" s="16">
        <v>2.4636162800000001</v>
      </c>
      <c r="G19" s="14">
        <v>9.5029508200000006</v>
      </c>
      <c r="H19" s="16">
        <v>1.90324275</v>
      </c>
      <c r="I19" s="14">
        <v>12.727524600000001</v>
      </c>
      <c r="J19" s="16">
        <v>1.82235097</v>
      </c>
      <c r="K19" s="14">
        <v>31.845322639999999</v>
      </c>
      <c r="L19" s="16">
        <v>2.1837755900000002</v>
      </c>
      <c r="M19" s="14" t="s">
        <v>139</v>
      </c>
      <c r="N19" s="16" t="s">
        <v>139</v>
      </c>
      <c r="O19" s="14">
        <v>0</v>
      </c>
      <c r="P19" s="16">
        <v>0</v>
      </c>
      <c r="Q19" s="14">
        <v>0</v>
      </c>
      <c r="R19" s="16">
        <v>0</v>
      </c>
      <c r="S19" s="14">
        <v>0</v>
      </c>
      <c r="T19" s="16">
        <v>0</v>
      </c>
      <c r="U19" s="14">
        <v>0</v>
      </c>
      <c r="V19" s="16">
        <v>0</v>
      </c>
    </row>
    <row r="20" spans="1:22" x14ac:dyDescent="0.25">
      <c r="A20" s="11" t="s">
        <v>152</v>
      </c>
      <c r="B20" s="13">
        <v>1630</v>
      </c>
      <c r="C20" s="14">
        <f>(1351/B20*100)</f>
        <v>82.883435582822088</v>
      </c>
      <c r="D20" s="15">
        <v>279</v>
      </c>
      <c r="E20" s="14">
        <v>30.010719510000001</v>
      </c>
      <c r="F20" s="16">
        <v>2.6248779999999998</v>
      </c>
      <c r="G20" s="14">
        <v>12.357548380000001</v>
      </c>
      <c r="H20" s="16">
        <v>2.31439722</v>
      </c>
      <c r="I20" s="14">
        <v>14.244535109999999</v>
      </c>
      <c r="J20" s="16">
        <v>1.96257828</v>
      </c>
      <c r="K20" s="14">
        <v>43.387197</v>
      </c>
      <c r="L20" s="16">
        <v>2.8718767700000001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(2450/B22*100)</f>
        <v>83.589218696690551</v>
      </c>
      <c r="D22" s="15">
        <v>481</v>
      </c>
      <c r="E22" s="14">
        <v>43.602005749999996</v>
      </c>
      <c r="F22" s="16">
        <v>2.4899781499999998</v>
      </c>
      <c r="G22" s="14">
        <v>10.857949270000001</v>
      </c>
      <c r="H22" s="16">
        <v>1.5402568800000001</v>
      </c>
      <c r="I22" s="14">
        <v>16.941060109999999</v>
      </c>
      <c r="J22" s="16">
        <v>2.1873984100000001</v>
      </c>
      <c r="K22" s="14">
        <v>28.598984860000002</v>
      </c>
      <c r="L22" s="16">
        <v>2.48420592</v>
      </c>
      <c r="M22" s="14" t="s">
        <v>139</v>
      </c>
      <c r="N22" s="16" t="s">
        <v>139</v>
      </c>
      <c r="O22" s="14">
        <v>0</v>
      </c>
      <c r="P22" s="16">
        <v>0</v>
      </c>
      <c r="Q22" s="14">
        <v>0</v>
      </c>
      <c r="R22" s="16">
        <v>0</v>
      </c>
      <c r="S22" s="14">
        <v>0</v>
      </c>
      <c r="T22" s="16">
        <v>0</v>
      </c>
      <c r="U22" s="14">
        <v>0</v>
      </c>
      <c r="V22" s="16">
        <v>0</v>
      </c>
    </row>
    <row r="23" spans="1:22" x14ac:dyDescent="0.25">
      <c r="A23" s="11" t="s">
        <v>156</v>
      </c>
      <c r="B23" s="13">
        <v>5791</v>
      </c>
      <c r="C23" s="14">
        <f>(4785/B23*100)</f>
        <v>82.628216197547914</v>
      </c>
      <c r="D23" s="15">
        <v>1006</v>
      </c>
      <c r="E23" s="14">
        <v>37.21799068</v>
      </c>
      <c r="F23" s="16">
        <v>2.03223954</v>
      </c>
      <c r="G23" s="14">
        <v>8.9860432299999999</v>
      </c>
      <c r="H23" s="16">
        <v>1.26293923</v>
      </c>
      <c r="I23" s="14">
        <v>14.96984939</v>
      </c>
      <c r="J23" s="16">
        <v>1.4132178500000001</v>
      </c>
      <c r="K23" s="14">
        <v>38.826116710000001</v>
      </c>
      <c r="L23" s="16">
        <v>1.8908510599999999</v>
      </c>
      <c r="M23" s="14" t="s">
        <v>139</v>
      </c>
      <c r="N23" s="16" t="s">
        <v>139</v>
      </c>
      <c r="O23" s="14">
        <v>0</v>
      </c>
      <c r="P23" s="16">
        <v>0</v>
      </c>
      <c r="Q23" s="14">
        <v>0</v>
      </c>
      <c r="R23" s="16">
        <v>0</v>
      </c>
      <c r="S23" s="14">
        <v>0</v>
      </c>
      <c r="T23" s="16">
        <v>0</v>
      </c>
      <c r="U23" s="14">
        <v>0</v>
      </c>
      <c r="V23" s="16">
        <v>0</v>
      </c>
    </row>
    <row r="24" spans="1:22" x14ac:dyDescent="0.25">
      <c r="A24" s="11" t="s">
        <v>157</v>
      </c>
      <c r="B24" s="13">
        <v>3338</v>
      </c>
      <c r="C24" s="14">
        <f>(2753/B24*100)</f>
        <v>82.474535650089877</v>
      </c>
      <c r="D24" s="15">
        <v>585</v>
      </c>
      <c r="E24" s="14">
        <v>25.67528283</v>
      </c>
      <c r="F24" s="16">
        <v>1.9545131</v>
      </c>
      <c r="G24" s="14">
        <v>10.00227671</v>
      </c>
      <c r="H24" s="16">
        <v>1.27051688</v>
      </c>
      <c r="I24" s="14">
        <v>11.508297170000001</v>
      </c>
      <c r="J24" s="16">
        <v>1.1962118100000001</v>
      </c>
      <c r="K24" s="14">
        <v>52.814143289999997</v>
      </c>
      <c r="L24" s="16">
        <v>2.1073829700000002</v>
      </c>
      <c r="M24" s="14" t="s">
        <v>139</v>
      </c>
      <c r="N24" s="16" t="s">
        <v>139</v>
      </c>
      <c r="O24" s="14">
        <v>0</v>
      </c>
      <c r="P24" s="16">
        <v>0</v>
      </c>
      <c r="Q24" s="14">
        <v>0</v>
      </c>
      <c r="R24" s="16">
        <v>0</v>
      </c>
      <c r="S24" s="14">
        <v>0</v>
      </c>
      <c r="T24" s="16">
        <v>0</v>
      </c>
      <c r="U24" s="14">
        <v>0</v>
      </c>
      <c r="V24" s="16">
        <v>0</v>
      </c>
    </row>
    <row r="25" spans="1:22" x14ac:dyDescent="0.25">
      <c r="A25" s="11" t="s">
        <v>158</v>
      </c>
      <c r="B25" s="13">
        <v>2912</v>
      </c>
      <c r="C25" s="14">
        <f>(2397/B25*100)</f>
        <v>82.314560439560438</v>
      </c>
      <c r="D25" s="15">
        <v>515</v>
      </c>
      <c r="E25" s="14">
        <v>30.21310029</v>
      </c>
      <c r="F25" s="16">
        <v>2.3459870299999999</v>
      </c>
      <c r="G25" s="14">
        <v>13.754866160000001</v>
      </c>
      <c r="H25" s="16">
        <v>1.5340278300000001</v>
      </c>
      <c r="I25" s="14">
        <v>18.405923609999999</v>
      </c>
      <c r="J25" s="16">
        <v>1.5583141300000001</v>
      </c>
      <c r="K25" s="14">
        <v>37.626109939999999</v>
      </c>
      <c r="L25" s="16">
        <v>2.2679029000000002</v>
      </c>
      <c r="M25" s="14" t="s">
        <v>139</v>
      </c>
      <c r="N25" s="16" t="s">
        <v>139</v>
      </c>
      <c r="O25" s="14">
        <v>0</v>
      </c>
      <c r="P25" s="16">
        <v>0</v>
      </c>
      <c r="Q25" s="14">
        <v>0</v>
      </c>
      <c r="R25" s="16">
        <v>0</v>
      </c>
      <c r="S25" s="14">
        <v>0</v>
      </c>
      <c r="T25" s="16">
        <v>0</v>
      </c>
      <c r="U25" s="14">
        <v>0</v>
      </c>
      <c r="V25" s="16">
        <v>0</v>
      </c>
    </row>
    <row r="26" spans="1:22" x14ac:dyDescent="0.25">
      <c r="A26" s="11" t="s">
        <v>159</v>
      </c>
      <c r="B26" s="13">
        <v>2450</v>
      </c>
      <c r="C26" s="14">
        <f>(2032/B26*100)</f>
        <v>82.938775510204081</v>
      </c>
      <c r="D26" s="15">
        <v>418</v>
      </c>
      <c r="E26" s="14">
        <v>38.348349800000001</v>
      </c>
      <c r="F26" s="16">
        <v>2.4978942499999999</v>
      </c>
      <c r="G26" s="14">
        <v>8.4772787100000002</v>
      </c>
      <c r="H26" s="16">
        <v>1.3914617199999999</v>
      </c>
      <c r="I26" s="14">
        <v>14.50522542</v>
      </c>
      <c r="J26" s="16">
        <v>1.6876577500000001</v>
      </c>
      <c r="K26" s="14">
        <v>38.669146069999996</v>
      </c>
      <c r="L26" s="16">
        <v>2.0213372399999998</v>
      </c>
      <c r="M26" s="14" t="s">
        <v>139</v>
      </c>
      <c r="N26" s="16" t="s">
        <v>139</v>
      </c>
      <c r="O26" s="14">
        <v>0</v>
      </c>
      <c r="P26" s="16">
        <v>0</v>
      </c>
      <c r="Q26" s="14">
        <v>0</v>
      </c>
      <c r="R26" s="16">
        <v>0</v>
      </c>
      <c r="S26" s="14">
        <v>0</v>
      </c>
      <c r="T26" s="16">
        <v>0</v>
      </c>
      <c r="U26" s="14">
        <v>0</v>
      </c>
      <c r="V26" s="16">
        <v>0</v>
      </c>
    </row>
    <row r="27" spans="1:22" x14ac:dyDescent="0.25">
      <c r="A27" s="11" t="s">
        <v>160</v>
      </c>
      <c r="B27" s="13">
        <v>2616</v>
      </c>
      <c r="C27" s="14">
        <f>(2169/B27*100)</f>
        <v>82.912844036697251</v>
      </c>
      <c r="D27" s="15">
        <v>447</v>
      </c>
      <c r="E27" s="14">
        <v>30.313216199999999</v>
      </c>
      <c r="F27" s="16">
        <v>2.3723089399999999</v>
      </c>
      <c r="G27" s="14">
        <v>13.315094350000001</v>
      </c>
      <c r="H27" s="16">
        <v>1.6570655999999999</v>
      </c>
      <c r="I27" s="14">
        <v>14.60301679</v>
      </c>
      <c r="J27" s="16">
        <v>1.6919707500000001</v>
      </c>
      <c r="K27" s="14">
        <v>41.76867266</v>
      </c>
      <c r="L27" s="16">
        <v>2.57094749</v>
      </c>
      <c r="M27" s="14" t="s">
        <v>139</v>
      </c>
      <c r="N27" s="16" t="s">
        <v>139</v>
      </c>
      <c r="O27" s="14">
        <v>0</v>
      </c>
      <c r="P27" s="16">
        <v>0</v>
      </c>
      <c r="Q27" s="14">
        <v>0</v>
      </c>
      <c r="R27" s="16">
        <v>0</v>
      </c>
      <c r="S27" s="14">
        <v>0</v>
      </c>
      <c r="T27" s="16">
        <v>0</v>
      </c>
      <c r="U27" s="14">
        <v>0</v>
      </c>
      <c r="V27" s="16">
        <v>0</v>
      </c>
    </row>
    <row r="28" spans="1:22" x14ac:dyDescent="0.25">
      <c r="A28" s="11" t="s">
        <v>161</v>
      </c>
      <c r="B28" s="13">
        <v>3765</v>
      </c>
      <c r="C28" s="14">
        <f>(3158/B28*100)</f>
        <v>83.877822045152726</v>
      </c>
      <c r="D28" s="15">
        <v>607</v>
      </c>
      <c r="E28" s="14">
        <v>59.192628640000002</v>
      </c>
      <c r="F28" s="16">
        <v>2.45175952</v>
      </c>
      <c r="G28" s="14">
        <v>14.974027400000001</v>
      </c>
      <c r="H28" s="16">
        <v>1.58540306</v>
      </c>
      <c r="I28" s="14">
        <v>11.44714641</v>
      </c>
      <c r="J28" s="16">
        <v>1.4643337400000001</v>
      </c>
      <c r="K28" s="14">
        <v>14.38619755</v>
      </c>
      <c r="L28" s="16">
        <v>1.6611406200000001</v>
      </c>
      <c r="M28" s="14" t="s">
        <v>139</v>
      </c>
      <c r="N28" s="16" t="s">
        <v>139</v>
      </c>
      <c r="O28" s="14">
        <v>0</v>
      </c>
      <c r="P28" s="16">
        <v>0</v>
      </c>
      <c r="Q28" s="14">
        <v>0</v>
      </c>
      <c r="R28" s="16">
        <v>0</v>
      </c>
      <c r="S28" s="14">
        <v>0</v>
      </c>
      <c r="T28" s="16">
        <v>0</v>
      </c>
      <c r="U28" s="14">
        <v>0</v>
      </c>
      <c r="V28" s="16">
        <v>0</v>
      </c>
    </row>
    <row r="29" spans="1:22" x14ac:dyDescent="0.25">
      <c r="A29" s="11" t="s">
        <v>162</v>
      </c>
      <c r="B29" s="13">
        <v>2685</v>
      </c>
      <c r="C29" s="14">
        <f>(2225/B29*100)</f>
        <v>82.86778398510242</v>
      </c>
      <c r="D29" s="15">
        <v>460</v>
      </c>
      <c r="E29" s="14">
        <v>26.66874408</v>
      </c>
      <c r="F29" s="16">
        <v>1.8445580699999999</v>
      </c>
      <c r="G29" s="14">
        <v>10.71130569</v>
      </c>
      <c r="H29" s="16">
        <v>1.4939669200000001</v>
      </c>
      <c r="I29" s="14">
        <v>21.831181319999999</v>
      </c>
      <c r="J29" s="16">
        <v>2.09082072</v>
      </c>
      <c r="K29" s="14">
        <v>40.788768920000003</v>
      </c>
      <c r="L29" s="16">
        <v>2.6020623199999999</v>
      </c>
      <c r="M29" s="14" t="s">
        <v>139</v>
      </c>
      <c r="N29" s="16" t="s">
        <v>139</v>
      </c>
      <c r="O29" s="14">
        <v>0</v>
      </c>
      <c r="P29" s="16">
        <v>0</v>
      </c>
      <c r="Q29" s="14">
        <v>0</v>
      </c>
      <c r="R29" s="16">
        <v>0</v>
      </c>
      <c r="S29" s="14">
        <v>0</v>
      </c>
      <c r="T29" s="16">
        <v>0</v>
      </c>
      <c r="U29" s="14">
        <v>0</v>
      </c>
      <c r="V29" s="16">
        <v>0</v>
      </c>
    </row>
    <row r="30" spans="1:22" x14ac:dyDescent="0.25">
      <c r="A30" s="11" t="s">
        <v>163</v>
      </c>
      <c r="B30" s="13">
        <v>2263</v>
      </c>
      <c r="C30" s="14">
        <f>(1874/B30*100)</f>
        <v>82.810428634555905</v>
      </c>
      <c r="D30" s="15">
        <v>389</v>
      </c>
      <c r="E30" s="14">
        <v>28.843268259999999</v>
      </c>
      <c r="F30" s="16">
        <v>2.5528838500000002</v>
      </c>
      <c r="G30" s="14">
        <v>9.1627218999999993</v>
      </c>
      <c r="H30" s="16">
        <v>1.32356472</v>
      </c>
      <c r="I30" s="14">
        <v>16.593335700000001</v>
      </c>
      <c r="J30" s="16">
        <v>2.09683537</v>
      </c>
      <c r="K30" s="14">
        <v>45.40067414</v>
      </c>
      <c r="L30" s="16">
        <v>2.1838628500000001</v>
      </c>
      <c r="M30" s="14" t="s">
        <v>139</v>
      </c>
      <c r="N30" s="16" t="s">
        <v>139</v>
      </c>
      <c r="O30" s="14">
        <v>0</v>
      </c>
      <c r="P30" s="16">
        <v>0</v>
      </c>
      <c r="Q30" s="14">
        <v>0</v>
      </c>
      <c r="R30" s="16">
        <v>0</v>
      </c>
      <c r="S30" s="14">
        <v>0</v>
      </c>
      <c r="T30" s="16">
        <v>0</v>
      </c>
      <c r="U30" s="14">
        <v>0</v>
      </c>
      <c r="V30" s="16">
        <v>0</v>
      </c>
    </row>
    <row r="31" spans="1:22" x14ac:dyDescent="0.25">
      <c r="A31" s="11" t="s">
        <v>164</v>
      </c>
      <c r="B31" s="13">
        <v>2750</v>
      </c>
      <c r="C31" s="14">
        <f>(2267/B31*100)</f>
        <v>82.436363636363637</v>
      </c>
      <c r="D31" s="15">
        <v>483</v>
      </c>
      <c r="E31" s="14">
        <v>31.09920915</v>
      </c>
      <c r="F31" s="16">
        <v>2.0719302700000002</v>
      </c>
      <c r="G31" s="14">
        <v>11.528314979999999</v>
      </c>
      <c r="H31" s="16">
        <v>1.36601153</v>
      </c>
      <c r="I31" s="14">
        <v>16.279121669999999</v>
      </c>
      <c r="J31" s="16">
        <v>2.1672234499999998</v>
      </c>
      <c r="K31" s="14">
        <v>41.093354210000001</v>
      </c>
      <c r="L31" s="16">
        <v>2.28083752</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(3042/B33*100)</f>
        <v>82.798040283070222</v>
      </c>
      <c r="D33" s="15">
        <v>632</v>
      </c>
      <c r="E33" s="14">
        <v>31.752704139999999</v>
      </c>
      <c r="F33" s="16">
        <v>2.3654396000000002</v>
      </c>
      <c r="G33" s="14">
        <v>9.2913803500000007</v>
      </c>
      <c r="H33" s="16">
        <v>1.8142719</v>
      </c>
      <c r="I33" s="14">
        <v>14.07544302</v>
      </c>
      <c r="J33" s="16">
        <v>1.39354862</v>
      </c>
      <c r="K33" s="14">
        <v>44.880472490000002</v>
      </c>
      <c r="L33" s="16">
        <v>2.4504802799999998</v>
      </c>
      <c r="M33" s="14" t="s">
        <v>139</v>
      </c>
      <c r="N33" s="16" t="s">
        <v>139</v>
      </c>
      <c r="O33" s="14">
        <v>0</v>
      </c>
      <c r="P33" s="16">
        <v>0</v>
      </c>
      <c r="Q33" s="14">
        <v>0</v>
      </c>
      <c r="R33" s="16">
        <v>0</v>
      </c>
      <c r="S33" s="14">
        <v>0</v>
      </c>
      <c r="T33" s="16">
        <v>0</v>
      </c>
      <c r="U33" s="14">
        <v>0</v>
      </c>
      <c r="V33" s="16">
        <v>0</v>
      </c>
    </row>
    <row r="34" spans="1:22" x14ac:dyDescent="0.25">
      <c r="A34" s="11" t="s">
        <v>167</v>
      </c>
      <c r="B34" s="13">
        <v>3315</v>
      </c>
      <c r="C34" s="14">
        <f>(2747/B34*100)</f>
        <v>82.865761689291105</v>
      </c>
      <c r="D34" s="15">
        <v>568</v>
      </c>
      <c r="E34" s="14">
        <v>36.542337080000003</v>
      </c>
      <c r="F34" s="16">
        <v>2.4332157200000002</v>
      </c>
      <c r="G34" s="14">
        <v>10.65471595</v>
      </c>
      <c r="H34" s="16">
        <v>1.3503655400000001</v>
      </c>
      <c r="I34" s="14">
        <v>15.577575510000001</v>
      </c>
      <c r="J34" s="16">
        <v>1.4860875600000001</v>
      </c>
      <c r="K34" s="14">
        <v>37.225371469999999</v>
      </c>
      <c r="L34" s="16">
        <v>2.11865719</v>
      </c>
      <c r="M34" s="14" t="s">
        <v>139</v>
      </c>
      <c r="N34" s="16" t="s">
        <v>139</v>
      </c>
      <c r="O34" s="14">
        <v>0</v>
      </c>
      <c r="P34" s="16">
        <v>0</v>
      </c>
      <c r="Q34" s="14">
        <v>0</v>
      </c>
      <c r="R34" s="16">
        <v>0</v>
      </c>
      <c r="S34" s="14">
        <v>0</v>
      </c>
      <c r="T34" s="16">
        <v>0</v>
      </c>
      <c r="U34" s="14">
        <v>0</v>
      </c>
      <c r="V34" s="16">
        <v>0</v>
      </c>
    </row>
    <row r="35" spans="1:22" x14ac:dyDescent="0.25">
      <c r="A35" s="11" t="s">
        <v>168</v>
      </c>
      <c r="B35" s="13">
        <v>3505</v>
      </c>
      <c r="C35" s="14">
        <f>(2910/B35*100)</f>
        <v>83.024251069900146</v>
      </c>
      <c r="D35" s="15">
        <v>595</v>
      </c>
      <c r="E35" s="14">
        <v>30.161660779999998</v>
      </c>
      <c r="F35" s="16">
        <v>2.0854088900000001</v>
      </c>
      <c r="G35" s="14">
        <v>11.90331993</v>
      </c>
      <c r="H35" s="16">
        <v>1.5982928199999999</v>
      </c>
      <c r="I35" s="14">
        <v>17.734836000000001</v>
      </c>
      <c r="J35" s="16">
        <v>1.90015198</v>
      </c>
      <c r="K35" s="14">
        <v>40.200183289999998</v>
      </c>
      <c r="L35" s="16">
        <v>2.3041269299999998</v>
      </c>
      <c r="M35" s="14" t="s">
        <v>139</v>
      </c>
      <c r="N35" s="16" t="s">
        <v>139</v>
      </c>
      <c r="O35" s="14">
        <v>0</v>
      </c>
      <c r="P35" s="16">
        <v>0</v>
      </c>
      <c r="Q35" s="14">
        <v>0</v>
      </c>
      <c r="R35" s="16">
        <v>0</v>
      </c>
      <c r="S35" s="14">
        <v>0</v>
      </c>
      <c r="T35" s="16">
        <v>0</v>
      </c>
      <c r="U35" s="14">
        <v>0</v>
      </c>
      <c r="V35" s="16">
        <v>0</v>
      </c>
    </row>
    <row r="36" spans="1:22" x14ac:dyDescent="0.25">
      <c r="A36" s="11" t="s">
        <v>169</v>
      </c>
      <c r="B36" s="13">
        <v>3332</v>
      </c>
      <c r="C36" s="14">
        <f>(2776/B36*100)</f>
        <v>83.313325330132045</v>
      </c>
      <c r="D36" s="15">
        <v>556</v>
      </c>
      <c r="E36" s="14">
        <v>37.770437770000001</v>
      </c>
      <c r="F36" s="16">
        <v>2.1876667799999998</v>
      </c>
      <c r="G36" s="14">
        <v>6.66836802</v>
      </c>
      <c r="H36" s="16">
        <v>1.0048846</v>
      </c>
      <c r="I36" s="14">
        <v>13.602354630000001</v>
      </c>
      <c r="J36" s="16">
        <v>1.5628967899999999</v>
      </c>
      <c r="K36" s="14">
        <v>41.958839570000002</v>
      </c>
      <c r="L36" s="16">
        <v>2.1388319400000002</v>
      </c>
      <c r="M36" s="14" t="s">
        <v>139</v>
      </c>
      <c r="N36" s="16" t="s">
        <v>139</v>
      </c>
      <c r="O36" s="14">
        <v>0</v>
      </c>
      <c r="P36" s="16">
        <v>0</v>
      </c>
      <c r="Q36" s="14">
        <v>0</v>
      </c>
      <c r="R36" s="16">
        <v>0</v>
      </c>
      <c r="S36" s="14">
        <v>0</v>
      </c>
      <c r="T36" s="16">
        <v>0</v>
      </c>
      <c r="U36" s="14">
        <v>0</v>
      </c>
      <c r="V36" s="16">
        <v>0</v>
      </c>
    </row>
    <row r="37" spans="1:22" x14ac:dyDescent="0.25">
      <c r="A37" s="11" t="s">
        <v>170</v>
      </c>
      <c r="B37" s="13">
        <v>2727</v>
      </c>
      <c r="C37" s="14">
        <f>(2245/B37*100)</f>
        <v>82.324899156582319</v>
      </c>
      <c r="D37" s="15">
        <v>482</v>
      </c>
      <c r="E37" s="14">
        <v>31.015861730000001</v>
      </c>
      <c r="F37" s="16">
        <v>2.2221290100000002</v>
      </c>
      <c r="G37" s="14">
        <v>10.509301560000001</v>
      </c>
      <c r="H37" s="16">
        <v>1.2588029000000001</v>
      </c>
      <c r="I37" s="14">
        <v>12.037406150000001</v>
      </c>
      <c r="J37" s="16">
        <v>1.4789669400000001</v>
      </c>
      <c r="K37" s="14">
        <v>46.437430569999997</v>
      </c>
      <c r="L37" s="16">
        <v>2.4865488400000002</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(2437/B39*100)</f>
        <v>82.414609401420364</v>
      </c>
      <c r="D39" s="15">
        <v>520</v>
      </c>
      <c r="E39" s="14">
        <v>53.177504499999998</v>
      </c>
      <c r="F39" s="16">
        <v>2.4907228699999999</v>
      </c>
      <c r="G39" s="14">
        <v>16.023811640000002</v>
      </c>
      <c r="H39" s="16">
        <v>2.0816248800000001</v>
      </c>
      <c r="I39" s="14">
        <v>10.18820631</v>
      </c>
      <c r="J39" s="16">
        <v>1.51173822</v>
      </c>
      <c r="K39" s="14">
        <v>20.610477549999999</v>
      </c>
      <c r="L39" s="16">
        <v>2.0070650400000001</v>
      </c>
      <c r="M39" s="14" t="s">
        <v>139</v>
      </c>
      <c r="N39" s="16" t="s">
        <v>139</v>
      </c>
      <c r="O39" s="14">
        <v>0</v>
      </c>
      <c r="P39" s="16">
        <v>0</v>
      </c>
      <c r="Q39" s="14">
        <v>0</v>
      </c>
      <c r="R39" s="16">
        <v>0</v>
      </c>
      <c r="S39" s="14">
        <v>0</v>
      </c>
      <c r="T39" s="16">
        <v>0</v>
      </c>
      <c r="U39" s="14">
        <v>0</v>
      </c>
      <c r="V39" s="16">
        <v>0</v>
      </c>
    </row>
    <row r="40" spans="1:22" x14ac:dyDescent="0.25">
      <c r="A40" s="11" t="s">
        <v>173</v>
      </c>
      <c r="B40" s="13">
        <v>7235</v>
      </c>
      <c r="C40" s="14">
        <f>(5964/B40*100)</f>
        <v>82.43261921216309</v>
      </c>
      <c r="D40" s="15">
        <v>1271</v>
      </c>
      <c r="E40" s="14">
        <v>29.077990960000001</v>
      </c>
      <c r="F40" s="16">
        <v>1.9916099199999999</v>
      </c>
      <c r="G40" s="14">
        <v>12.836903120000001</v>
      </c>
      <c r="H40" s="16">
        <v>1.53571134</v>
      </c>
      <c r="I40" s="14">
        <v>12.35218772</v>
      </c>
      <c r="J40" s="16">
        <v>1.4206533100000001</v>
      </c>
      <c r="K40" s="14">
        <v>45.7329182</v>
      </c>
      <c r="L40" s="16">
        <v>2.0875138299999998</v>
      </c>
      <c r="M40" s="14" t="s">
        <v>139</v>
      </c>
      <c r="N40" s="16" t="s">
        <v>139</v>
      </c>
      <c r="O40" s="14">
        <v>0</v>
      </c>
      <c r="P40" s="16">
        <v>0</v>
      </c>
      <c r="Q40" s="14">
        <v>0</v>
      </c>
      <c r="R40" s="16">
        <v>0</v>
      </c>
      <c r="S40" s="14">
        <v>0</v>
      </c>
      <c r="T40" s="16">
        <v>0</v>
      </c>
      <c r="U40" s="14">
        <v>0</v>
      </c>
      <c r="V40" s="16">
        <v>0</v>
      </c>
    </row>
    <row r="41" spans="1:22" x14ac:dyDescent="0.25">
      <c r="A41" s="11" t="s">
        <v>174</v>
      </c>
      <c r="B41" s="13">
        <v>2858</v>
      </c>
      <c r="C41" s="14">
        <f>(2367/B41*100)</f>
        <v>82.820153953813858</v>
      </c>
      <c r="D41" s="15">
        <v>491</v>
      </c>
      <c r="E41" s="14">
        <v>34.514256940000003</v>
      </c>
      <c r="F41" s="16">
        <v>2.4233871800000002</v>
      </c>
      <c r="G41" s="14">
        <v>8.7165561900000004</v>
      </c>
      <c r="H41" s="16">
        <v>1.2198338</v>
      </c>
      <c r="I41" s="14">
        <v>17.887839</v>
      </c>
      <c r="J41" s="16">
        <v>1.7624341400000001</v>
      </c>
      <c r="K41" s="14">
        <v>38.881347869999999</v>
      </c>
      <c r="L41" s="16">
        <v>2.1385565400000002</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82.930300250776952</v>
      </c>
      <c r="D42" s="15">
        <f>IF(COUNT(D7:D41) &gt; 0, AVERAGE(D7:D41), "—")</f>
        <v>623.15625</v>
      </c>
      <c r="E42" s="14">
        <f>IF(COUNT(E7:E41) &gt; 0, AVERAGE(E7:E41), "—")</f>
        <v>33.708984271249996</v>
      </c>
      <c r="F42" s="16">
        <f>IF(COUNT(F7:F41) &gt; 0, SQRT(SUMSQ(F7:F41)/(COUNT(F7:F41)*COUNT(F7:F41)) ), "—")</f>
        <v>0.3920166374646491</v>
      </c>
      <c r="G42" s="14">
        <f>IF(COUNT(G7:G41) &gt; 0, AVERAGE(G7:G41), "—")</f>
        <v>10.538979700625003</v>
      </c>
      <c r="H42" s="16">
        <f>IF(COUNT(H7:H41) &gt; 0, SQRT(SUMSQ(H7:H41)/(COUNT(H7:H41)*COUNT(H7:H41)) ), "—")</f>
        <v>0.2608817901170038</v>
      </c>
      <c r="I42" s="14">
        <f>IF(COUNT(I7:I41) &gt; 0, AVERAGE(I7:I41), "—")</f>
        <v>14.443050064062501</v>
      </c>
      <c r="J42" s="16">
        <f>IF(COUNT(J7:J41) &gt; 0, SQRT(SUMSQ(J7:J41)/(COUNT(J7:J41)*COUNT(J7:J41)) ), "—")</f>
        <v>0.29081958253677126</v>
      </c>
      <c r="K42" s="14">
        <f>IF(COUNT(K7:K41) &gt; 0, AVERAGE(K7:K41), "—")</f>
        <v>41.308985965312502</v>
      </c>
      <c r="L42" s="16">
        <f>IF(COUNT(L7:L41) &gt; 0, SQRT(SUMSQ(L7:L41)/(COUNT(L7:L41)*COUNT(L7:L41)) ), "—")</f>
        <v>0.39614405169326411</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(9485/B46*100)</f>
        <v>85.697506324539205</v>
      </c>
      <c r="D46" s="15">
        <v>1583</v>
      </c>
      <c r="E46" s="14">
        <v>59.940242019999999</v>
      </c>
      <c r="F46" s="16">
        <v>1.82457168</v>
      </c>
      <c r="G46" s="14">
        <v>10.84437119</v>
      </c>
      <c r="H46" s="16">
        <v>1.11578522</v>
      </c>
      <c r="I46" s="14">
        <v>10.42826595</v>
      </c>
      <c r="J46" s="16">
        <v>0.99686231000000003</v>
      </c>
      <c r="K46" s="14">
        <v>18.78712084</v>
      </c>
      <c r="L46" s="16">
        <v>1.4266660499999999</v>
      </c>
      <c r="M46" s="14" t="s">
        <v>139</v>
      </c>
      <c r="N46" s="16" t="s">
        <v>139</v>
      </c>
      <c r="O46" s="14">
        <v>0</v>
      </c>
      <c r="P46" s="16">
        <v>0</v>
      </c>
      <c r="Q46" s="14">
        <v>0</v>
      </c>
      <c r="R46" s="16">
        <v>0</v>
      </c>
      <c r="S46" s="14">
        <v>0</v>
      </c>
      <c r="T46" s="16">
        <v>0</v>
      </c>
      <c r="U46" s="14">
        <v>0</v>
      </c>
      <c r="V46" s="16">
        <v>0</v>
      </c>
    </row>
    <row r="47" spans="1:22" x14ac:dyDescent="0.25">
      <c r="A47" s="11" t="s">
        <v>180</v>
      </c>
      <c r="B47" s="13">
        <v>3105</v>
      </c>
      <c r="C47" s="14">
        <f>(2586/B47*100)</f>
        <v>83.285024154589365</v>
      </c>
      <c r="D47" s="15">
        <v>519</v>
      </c>
      <c r="E47" s="14">
        <v>49.086916449999997</v>
      </c>
      <c r="F47" s="16">
        <v>2.1805917500000001</v>
      </c>
      <c r="G47" s="14">
        <v>13.28826698</v>
      </c>
      <c r="H47" s="16">
        <v>1.4476148900000001</v>
      </c>
      <c r="I47" s="14">
        <v>10.47868295</v>
      </c>
      <c r="J47" s="16">
        <v>1.4224464699999999</v>
      </c>
      <c r="K47" s="14">
        <v>27.14613361</v>
      </c>
      <c r="L47" s="16">
        <v>1.88617167</v>
      </c>
      <c r="M47" s="14" t="s">
        <v>139</v>
      </c>
      <c r="N47" s="16" t="s">
        <v>139</v>
      </c>
      <c r="O47" s="14">
        <v>0</v>
      </c>
      <c r="P47" s="16">
        <v>0</v>
      </c>
      <c r="Q47" s="14">
        <v>0</v>
      </c>
      <c r="R47" s="16">
        <v>0</v>
      </c>
      <c r="S47" s="14">
        <v>0</v>
      </c>
      <c r="T47" s="16">
        <v>0</v>
      </c>
      <c r="U47" s="14">
        <v>0</v>
      </c>
      <c r="V47" s="16">
        <v>0</v>
      </c>
    </row>
    <row r="48" spans="1:22" x14ac:dyDescent="0.25">
      <c r="A48" s="11" t="s">
        <v>181</v>
      </c>
      <c r="B48" s="13">
        <v>5159</v>
      </c>
      <c r="C48" s="14">
        <f>(4249/B48*100)</f>
        <v>82.36092265943013</v>
      </c>
      <c r="D48" s="15">
        <v>910</v>
      </c>
      <c r="E48" s="14">
        <v>31.564637730000001</v>
      </c>
      <c r="F48" s="16">
        <v>2.2196268799999999</v>
      </c>
      <c r="G48" s="14">
        <v>14.630669470000001</v>
      </c>
      <c r="H48" s="16">
        <v>1.58937401</v>
      </c>
      <c r="I48" s="14">
        <v>15.32627183</v>
      </c>
      <c r="J48" s="16">
        <v>1.68456425</v>
      </c>
      <c r="K48" s="14">
        <v>38.478420970000002</v>
      </c>
      <c r="L48" s="16">
        <v>1.9943725400000001</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(4696/B50*100)</f>
        <v>83.306723434450944</v>
      </c>
      <c r="D50" s="15">
        <v>941</v>
      </c>
      <c r="E50" s="14">
        <v>52.089030819999998</v>
      </c>
      <c r="F50" s="16">
        <v>2.0615177</v>
      </c>
      <c r="G50" s="14">
        <v>14.559444510000001</v>
      </c>
      <c r="H50" s="16">
        <v>1.2293088599999999</v>
      </c>
      <c r="I50" s="14">
        <v>10.480644</v>
      </c>
      <c r="J50" s="16">
        <v>1.20159007</v>
      </c>
      <c r="K50" s="14">
        <v>22.870880679999999</v>
      </c>
      <c r="L50" s="16">
        <v>1.75460164</v>
      </c>
      <c r="M50" s="14" t="s">
        <v>139</v>
      </c>
      <c r="N50" s="16" t="s">
        <v>139</v>
      </c>
      <c r="O50" s="14">
        <v>0</v>
      </c>
      <c r="P50" s="16">
        <v>0</v>
      </c>
      <c r="Q50" s="14">
        <v>0</v>
      </c>
      <c r="R50" s="16">
        <v>0</v>
      </c>
      <c r="S50" s="14">
        <v>0</v>
      </c>
      <c r="T50" s="16">
        <v>0</v>
      </c>
      <c r="U50" s="14">
        <v>0</v>
      </c>
      <c r="V50" s="16">
        <v>0</v>
      </c>
    </row>
    <row r="51" spans="1:22" x14ac:dyDescent="0.25">
      <c r="A51" s="11" t="s">
        <v>184</v>
      </c>
      <c r="B51" s="13">
        <v>3372</v>
      </c>
      <c r="C51" s="14">
        <f>(2873/B51*100)</f>
        <v>85.201660735468565</v>
      </c>
      <c r="D51" s="15">
        <v>499</v>
      </c>
      <c r="E51" s="14">
        <v>48.642634579999999</v>
      </c>
      <c r="F51" s="16">
        <v>2.1623429999999999</v>
      </c>
      <c r="G51" s="14">
        <v>11.13447027</v>
      </c>
      <c r="H51" s="16">
        <v>1.52207279</v>
      </c>
      <c r="I51" s="14">
        <v>13.965547750000001</v>
      </c>
      <c r="J51" s="16">
        <v>1.4420280999999999</v>
      </c>
      <c r="K51" s="14">
        <v>26.2573474</v>
      </c>
      <c r="L51" s="16">
        <v>1.7512003700000001</v>
      </c>
      <c r="M51" s="14" t="s">
        <v>139</v>
      </c>
      <c r="N51" s="16" t="s">
        <v>139</v>
      </c>
      <c r="O51" s="14">
        <v>0</v>
      </c>
      <c r="P51" s="16">
        <v>0</v>
      </c>
      <c r="Q51" s="14">
        <v>0</v>
      </c>
      <c r="R51" s="16">
        <v>0</v>
      </c>
      <c r="S51" s="14">
        <v>0</v>
      </c>
      <c r="T51" s="16">
        <v>0</v>
      </c>
      <c r="U51" s="14">
        <v>0</v>
      </c>
      <c r="V51" s="16">
        <v>0</v>
      </c>
    </row>
    <row r="52" spans="1:22" x14ac:dyDescent="0.25">
      <c r="A52" s="11" t="s">
        <v>185</v>
      </c>
      <c r="B52" s="13">
        <v>2796</v>
      </c>
      <c r="C52" s="14">
        <f>(2342/B52*100)</f>
        <v>83.762517882689565</v>
      </c>
      <c r="D52" s="15">
        <v>454</v>
      </c>
      <c r="E52" s="14">
        <v>52.920692629999998</v>
      </c>
      <c r="F52" s="16">
        <v>2.39216995</v>
      </c>
      <c r="G52" s="14">
        <v>7.8424834399999996</v>
      </c>
      <c r="H52" s="16">
        <v>1.4498431199999999</v>
      </c>
      <c r="I52" s="14">
        <v>9.1685003300000005</v>
      </c>
      <c r="J52" s="16">
        <v>1.5081686700000001</v>
      </c>
      <c r="K52" s="14">
        <v>30.06832361</v>
      </c>
      <c r="L52" s="16">
        <v>2.2176996999999998</v>
      </c>
      <c r="M52" s="14" t="s">
        <v>139</v>
      </c>
      <c r="N52" s="16" t="s">
        <v>139</v>
      </c>
      <c r="O52" s="14">
        <v>0</v>
      </c>
      <c r="P52" s="16">
        <v>0</v>
      </c>
      <c r="Q52" s="14">
        <v>0</v>
      </c>
      <c r="R52" s="16">
        <v>0</v>
      </c>
      <c r="S52" s="14">
        <v>0</v>
      </c>
      <c r="T52" s="16">
        <v>0</v>
      </c>
      <c r="U52" s="14">
        <v>0</v>
      </c>
      <c r="V52" s="16">
        <v>0</v>
      </c>
    </row>
    <row r="53" spans="1:22" x14ac:dyDescent="0.25">
      <c r="A53" s="11" t="s">
        <v>186</v>
      </c>
      <c r="B53" s="13">
        <v>2811</v>
      </c>
      <c r="C53" s="14">
        <f>(2314/B53*100)</f>
        <v>82.319459267164703</v>
      </c>
      <c r="D53" s="15">
        <v>497</v>
      </c>
      <c r="E53" s="14">
        <v>46.331445649999999</v>
      </c>
      <c r="F53" s="16">
        <v>2.4580697100000002</v>
      </c>
      <c r="G53" s="14">
        <v>14.979010199999999</v>
      </c>
      <c r="H53" s="16">
        <v>1.65345556</v>
      </c>
      <c r="I53" s="14">
        <v>10.401431349999999</v>
      </c>
      <c r="J53" s="16">
        <v>1.42385637</v>
      </c>
      <c r="K53" s="14">
        <v>28.2881128</v>
      </c>
      <c r="L53" s="16">
        <v>2.04035118</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(2209/B56*100)</f>
        <v>82.302533532041735</v>
      </c>
      <c r="D56" s="15">
        <v>475</v>
      </c>
      <c r="E56" s="14">
        <v>20.093386899999999</v>
      </c>
      <c r="F56" s="16">
        <v>1.97029527</v>
      </c>
      <c r="G56" s="14">
        <v>11.1249099</v>
      </c>
      <c r="H56" s="16">
        <v>1.6485825199999999</v>
      </c>
      <c r="I56" s="14">
        <v>23.960485590000001</v>
      </c>
      <c r="J56" s="16">
        <v>2.0356978799999998</v>
      </c>
      <c r="K56" s="14">
        <v>44.821217599999997</v>
      </c>
      <c r="L56" s="16">
        <v>2.2233619899999999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(2769/B61*100)</f>
        <v>83.303249097472914</v>
      </c>
      <c r="D61" s="15">
        <v>555</v>
      </c>
      <c r="E61" s="14">
        <v>46.764430830000002</v>
      </c>
      <c r="F61" s="16">
        <v>2.5893215600000001</v>
      </c>
      <c r="G61" s="14">
        <v>8.3111568200000008</v>
      </c>
      <c r="H61" s="16">
        <v>1.48631812</v>
      </c>
      <c r="I61" s="14">
        <v>12.53345627</v>
      </c>
      <c r="J61" s="16">
        <v>1.58259577</v>
      </c>
      <c r="K61" s="14">
        <v>32.390956080000002</v>
      </c>
      <c r="L61" s="16">
        <v>2.3675898100000001</v>
      </c>
      <c r="M61" s="14" t="s">
        <v>139</v>
      </c>
      <c r="N61" s="16" t="s">
        <v>139</v>
      </c>
      <c r="O61" s="14">
        <v>0</v>
      </c>
      <c r="P61" s="16">
        <v>0</v>
      </c>
      <c r="Q61" s="14">
        <v>0</v>
      </c>
      <c r="R61" s="16">
        <v>0</v>
      </c>
      <c r="S61" s="14">
        <v>0</v>
      </c>
      <c r="T61" s="16">
        <v>0</v>
      </c>
      <c r="U61" s="14">
        <v>0</v>
      </c>
      <c r="V61" s="16">
        <v>0</v>
      </c>
    </row>
    <row r="62" spans="1:22" x14ac:dyDescent="0.25">
      <c r="A62" s="11" t="s">
        <v>195</v>
      </c>
      <c r="B62" s="13">
        <v>2246</v>
      </c>
      <c r="C62" s="14">
        <f>(1872/B62*100)</f>
        <v>83.348174532502227</v>
      </c>
      <c r="D62" s="15">
        <v>374</v>
      </c>
      <c r="E62" s="14">
        <v>30.532684039999999</v>
      </c>
      <c r="F62" s="16">
        <v>2.4609658099999998</v>
      </c>
      <c r="G62" s="14">
        <v>11.25353844</v>
      </c>
      <c r="H62" s="16">
        <v>1.8371881800000001</v>
      </c>
      <c r="I62" s="14">
        <v>14.456597370000001</v>
      </c>
      <c r="J62" s="16">
        <v>1.93394691</v>
      </c>
      <c r="K62" s="14">
        <v>43.757180150000003</v>
      </c>
      <c r="L62" s="16">
        <v>2.3861212599999999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(2411/B66*100)</f>
        <v>83.310297166551479</v>
      </c>
      <c r="D66" s="15">
        <v>483</v>
      </c>
      <c r="E66" s="14">
        <v>59.921290759999998</v>
      </c>
      <c r="F66" s="16">
        <v>2.2998980699999998</v>
      </c>
      <c r="G66" s="14">
        <v>8.5775395000000003</v>
      </c>
      <c r="H66" s="16">
        <v>1.2492374799999999</v>
      </c>
      <c r="I66" s="14">
        <v>8.7277370300000001</v>
      </c>
      <c r="J66" s="16">
        <v>1.2627961599999999</v>
      </c>
      <c r="K66" s="14">
        <v>22.773432700000001</v>
      </c>
      <c r="L66" s="16">
        <v>1.76267722</v>
      </c>
      <c r="M66" s="14" t="s">
        <v>139</v>
      </c>
      <c r="N66" s="16" t="s">
        <v>139</v>
      </c>
      <c r="O66" s="14">
        <v>0</v>
      </c>
      <c r="P66" s="16">
        <v>0</v>
      </c>
      <c r="Q66" s="14">
        <v>0</v>
      </c>
      <c r="R66" s="16">
        <v>0</v>
      </c>
      <c r="S66" s="14">
        <v>0</v>
      </c>
      <c r="T66" s="16">
        <v>0</v>
      </c>
      <c r="U66" s="14">
        <v>0</v>
      </c>
      <c r="V66" s="16">
        <v>0</v>
      </c>
    </row>
    <row r="67" spans="1:22" x14ac:dyDescent="0.25">
      <c r="A67" s="11" t="s">
        <v>200</v>
      </c>
      <c r="B67" s="13">
        <v>3511</v>
      </c>
      <c r="C67" s="14">
        <f>(2931/B67*100)</f>
        <v>83.480489888920545</v>
      </c>
      <c r="D67" s="15">
        <v>580</v>
      </c>
      <c r="E67" s="14">
        <v>55.605165620000001</v>
      </c>
      <c r="F67" s="16">
        <v>2.0460030800000002</v>
      </c>
      <c r="G67" s="14">
        <v>14.39991328</v>
      </c>
      <c r="H67" s="16">
        <v>1.5240247099999999</v>
      </c>
      <c r="I67" s="14">
        <v>11.187161939999999</v>
      </c>
      <c r="J67" s="16">
        <v>1.38331662</v>
      </c>
      <c r="K67" s="14">
        <v>18.80775916</v>
      </c>
      <c r="L67" s="16">
        <v>1.9278874500000001</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(2434/B70*100)</f>
        <v>83.100034141345162</v>
      </c>
      <c r="D70" s="15">
        <v>495</v>
      </c>
      <c r="E70" s="14">
        <v>39.342008870000001</v>
      </c>
      <c r="F70" s="16">
        <v>2.1568467899999999</v>
      </c>
      <c r="G70" s="14">
        <v>12.51084223</v>
      </c>
      <c r="H70" s="16">
        <v>1.7519824399999999</v>
      </c>
      <c r="I70" s="14">
        <v>11.21100363</v>
      </c>
      <c r="J70" s="16">
        <v>1.76022155</v>
      </c>
      <c r="K70" s="14">
        <v>36.936145269999997</v>
      </c>
      <c r="L70" s="16">
        <v>2.27938544</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(3225/B72*100)</f>
        <v>82.926202108511177</v>
      </c>
      <c r="D72" s="15">
        <v>664</v>
      </c>
      <c r="E72" s="14">
        <v>35.679206280000002</v>
      </c>
      <c r="F72" s="16">
        <v>1.9551685299999999</v>
      </c>
      <c r="G72" s="14">
        <v>11.150549639999999</v>
      </c>
      <c r="H72" s="16">
        <v>1.2470456700000001</v>
      </c>
      <c r="I72" s="14">
        <v>13.58290459</v>
      </c>
      <c r="J72" s="16">
        <v>1.4049090099999999</v>
      </c>
      <c r="K72" s="14">
        <v>39.587339489999998</v>
      </c>
      <c r="L72" s="16">
        <v>1.8081742199999999</v>
      </c>
      <c r="M72" s="14" t="s">
        <v>139</v>
      </c>
      <c r="N72" s="16" t="s">
        <v>139</v>
      </c>
      <c r="O72" s="14">
        <v>0</v>
      </c>
      <c r="P72" s="16">
        <v>0</v>
      </c>
      <c r="Q72" s="14">
        <v>0</v>
      </c>
      <c r="R72" s="16">
        <v>0</v>
      </c>
      <c r="S72" s="14">
        <v>0</v>
      </c>
      <c r="T72" s="16">
        <v>0</v>
      </c>
      <c r="U72" s="14">
        <v>0</v>
      </c>
      <c r="V72" s="16">
        <v>0</v>
      </c>
    </row>
    <row r="73" spans="1:22" x14ac:dyDescent="0.25">
      <c r="A73" s="11" t="s">
        <v>206</v>
      </c>
      <c r="B73" s="13">
        <v>3597</v>
      </c>
      <c r="C73" s="14">
        <f>(3002/B73*100)</f>
        <v>83.458437586877949</v>
      </c>
      <c r="D73" s="15">
        <v>595</v>
      </c>
      <c r="E73" s="14">
        <v>55.552987379999998</v>
      </c>
      <c r="F73" s="16">
        <v>2.2905195699999998</v>
      </c>
      <c r="G73" s="14">
        <v>21.23085523</v>
      </c>
      <c r="H73" s="16">
        <v>2.1241482999999999</v>
      </c>
      <c r="I73" s="14">
        <v>8.7394568800000005</v>
      </c>
      <c r="J73" s="16">
        <v>1.4298906199999999</v>
      </c>
      <c r="K73" s="14">
        <v>14.476700510000001</v>
      </c>
      <c r="L73" s="16">
        <v>1.73736029</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(2048/B75*100)</f>
        <v>85.120532003325025</v>
      </c>
      <c r="D75" s="15">
        <v>358</v>
      </c>
      <c r="E75" s="14">
        <v>67.941411250000002</v>
      </c>
      <c r="F75" s="16">
        <v>2.3616442100000001</v>
      </c>
      <c r="G75" s="14">
        <v>12.745055069999999</v>
      </c>
      <c r="H75" s="16">
        <v>1.6900650100000001</v>
      </c>
      <c r="I75" s="14">
        <v>6.49039945</v>
      </c>
      <c r="J75" s="16">
        <v>1.4209839799999999</v>
      </c>
      <c r="K75" s="14">
        <v>12.82313424</v>
      </c>
      <c r="L75" s="16">
        <v>1.8232879099999999</v>
      </c>
      <c r="M75" s="14" t="s">
        <v>139</v>
      </c>
      <c r="N75" s="16" t="s">
        <v>139</v>
      </c>
      <c r="O75" s="14">
        <v>0</v>
      </c>
      <c r="P75" s="16">
        <v>0</v>
      </c>
      <c r="Q75" s="14">
        <v>0</v>
      </c>
      <c r="R75" s="16">
        <v>0</v>
      </c>
      <c r="S75" s="14">
        <v>0</v>
      </c>
      <c r="T75" s="16">
        <v>0</v>
      </c>
      <c r="U75" s="14">
        <v>0</v>
      </c>
      <c r="V75" s="16">
        <v>0</v>
      </c>
    </row>
    <row r="76" spans="1:22" x14ac:dyDescent="0.25">
      <c r="A76" s="11" t="s">
        <v>209</v>
      </c>
      <c r="B76" s="13">
        <v>7052</v>
      </c>
      <c r="C76" s="14">
        <f>(5832/B76*100)</f>
        <v>82.699943278502559</v>
      </c>
      <c r="D76" s="15">
        <v>1220</v>
      </c>
      <c r="E76" s="14">
        <v>48.378494189999998</v>
      </c>
      <c r="F76" s="16">
        <v>1.86382716</v>
      </c>
      <c r="G76" s="14">
        <v>16.421187369999998</v>
      </c>
      <c r="H76" s="16">
        <v>1.4934802300000001</v>
      </c>
      <c r="I76" s="14">
        <v>13.67373944</v>
      </c>
      <c r="J76" s="16">
        <v>1.1306360600000001</v>
      </c>
      <c r="K76" s="14">
        <v>21.526579000000002</v>
      </c>
      <c r="L76" s="16">
        <v>1.36322035</v>
      </c>
      <c r="M76" s="14" t="s">
        <v>139</v>
      </c>
      <c r="N76" s="16" t="s">
        <v>139</v>
      </c>
      <c r="O76" s="14">
        <v>0</v>
      </c>
      <c r="P76" s="16">
        <v>0</v>
      </c>
      <c r="Q76" s="14">
        <v>0</v>
      </c>
      <c r="R76" s="16">
        <v>0</v>
      </c>
      <c r="S76" s="14">
        <v>0</v>
      </c>
      <c r="T76" s="16">
        <v>0</v>
      </c>
      <c r="U76" s="14">
        <v>0</v>
      </c>
      <c r="V76" s="16">
        <v>0</v>
      </c>
    </row>
    <row r="77" spans="1:22" x14ac:dyDescent="0.25">
      <c r="A77" s="11" t="s">
        <v>210</v>
      </c>
      <c r="B77" s="13">
        <v>2908</v>
      </c>
      <c r="C77" s="14">
        <f>(2409/B77*100)</f>
        <v>82.840440165061906</v>
      </c>
      <c r="D77" s="15">
        <v>499</v>
      </c>
      <c r="E77" s="14">
        <v>49.485606300000001</v>
      </c>
      <c r="F77" s="16">
        <v>2.2677369500000002</v>
      </c>
      <c r="G77" s="14">
        <v>10.065616479999999</v>
      </c>
      <c r="H77" s="16">
        <v>1.2631386200000001</v>
      </c>
      <c r="I77" s="14">
        <v>11.27492217</v>
      </c>
      <c r="J77" s="16">
        <v>1.34847937</v>
      </c>
      <c r="K77" s="14">
        <v>29.173855039999999</v>
      </c>
      <c r="L77" s="16">
        <v>1.97779455</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(3466/B81*100)</f>
        <v>83.257266394427091</v>
      </c>
      <c r="D81" s="15">
        <v>697</v>
      </c>
      <c r="E81" s="14">
        <v>43.397849520000001</v>
      </c>
      <c r="F81" s="16">
        <v>2.2659747700000001</v>
      </c>
      <c r="G81" s="14">
        <v>16.796811129999998</v>
      </c>
      <c r="H81" s="16">
        <v>1.60198105</v>
      </c>
      <c r="I81" s="14">
        <v>12.82283541</v>
      </c>
      <c r="J81" s="16">
        <v>1.64287169</v>
      </c>
      <c r="K81" s="14">
        <v>26.982503940000001</v>
      </c>
      <c r="L81" s="16">
        <v>2.1151578999999998</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72.075238549999995</v>
      </c>
      <c r="F7" s="16">
        <v>1.3952312499999999</v>
      </c>
      <c r="G7" s="14">
        <v>27.924761449999998</v>
      </c>
      <c r="H7" s="16">
        <v>1.3952312499999999</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69.034871260000003</v>
      </c>
      <c r="F8" s="16">
        <v>2.04748931</v>
      </c>
      <c r="G8" s="14">
        <v>30.965128740000001</v>
      </c>
      <c r="H8" s="16">
        <v>2.04748931</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70.165055440000003</v>
      </c>
      <c r="F9" s="16">
        <v>1.6265703199999999</v>
      </c>
      <c r="G9" s="14">
        <v>29.83494456</v>
      </c>
      <c r="H9" s="16">
        <v>1.6265703199999999</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71.784120819999998</v>
      </c>
      <c r="F10" s="16">
        <v>1.64001811</v>
      </c>
      <c r="G10" s="14">
        <v>28.215879180000002</v>
      </c>
      <c r="H10" s="16">
        <v>1.64001811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79.081597759999994</v>
      </c>
      <c r="F11" s="16">
        <v>1.88155932</v>
      </c>
      <c r="G11" s="14">
        <v>20.918402239999999</v>
      </c>
      <c r="H11" s="16">
        <v>1.88155932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64.274911639999999</v>
      </c>
      <c r="F12" s="16">
        <v>1.89937087</v>
      </c>
      <c r="G12" s="14">
        <v>35.725088360000001</v>
      </c>
      <c r="H12" s="16">
        <v>1.89937087</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66.967535159999997</v>
      </c>
      <c r="F13" s="16">
        <v>2.2468478799999998</v>
      </c>
      <c r="G13" s="14">
        <v>33.032464840000003</v>
      </c>
      <c r="H13" s="16">
        <v>2.2468478799999998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76.739598169999994</v>
      </c>
      <c r="F14" s="16">
        <v>2.1303879299999999</v>
      </c>
      <c r="G14" s="14">
        <v>23.260401829999999</v>
      </c>
      <c r="H14" s="16">
        <v>2.1303879299999999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72.020970270000007</v>
      </c>
      <c r="F15" s="16">
        <v>2.06117807</v>
      </c>
      <c r="G15" s="14">
        <v>27.979029730000001</v>
      </c>
      <c r="H15" s="16">
        <v>2.06117807</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75.510472840000006</v>
      </c>
      <c r="F16" s="16">
        <v>1.8713516100000001</v>
      </c>
      <c r="G16" s="14">
        <v>24.489527160000002</v>
      </c>
      <c r="H16" s="16">
        <v>1.8713516100000001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68.786116489999998</v>
      </c>
      <c r="F17" s="16">
        <v>2.0982537200000002</v>
      </c>
      <c r="G17" s="14">
        <v>31.213883509999999</v>
      </c>
      <c r="H17" s="16">
        <v>2.0982537200000002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2808</v>
      </c>
      <c r="C19" s="14">
        <f>(2329/B19*100)</f>
        <v>82.941595441595439</v>
      </c>
      <c r="D19" s="15">
        <v>479</v>
      </c>
      <c r="E19" s="14">
        <v>75.830617029999999</v>
      </c>
      <c r="F19" s="16">
        <v>2.0973394000000001</v>
      </c>
      <c r="G19" s="14">
        <v>24.169382970000001</v>
      </c>
      <c r="H19" s="16">
        <v>2.0973394000000001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64.537577319999997</v>
      </c>
      <c r="F20" s="16">
        <v>2.8121909999999999</v>
      </c>
      <c r="G20" s="14">
        <v>35.462422680000003</v>
      </c>
      <c r="H20" s="16">
        <v>2.8121909999999999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72.146056759999993</v>
      </c>
      <c r="F22" s="16">
        <v>2.3430951900000001</v>
      </c>
      <c r="G22" s="14">
        <v>27.85394324</v>
      </c>
      <c r="H22" s="16">
        <v>2.3430951900000001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70.957944990000001</v>
      </c>
      <c r="F23" s="16">
        <v>1.73564037</v>
      </c>
      <c r="G23" s="14">
        <v>29.042055009999999</v>
      </c>
      <c r="H23" s="16">
        <v>1.73564037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48.90735153</v>
      </c>
      <c r="F24" s="16">
        <v>2.0080494400000002</v>
      </c>
      <c r="G24" s="14">
        <v>51.09264847</v>
      </c>
      <c r="H24" s="16">
        <v>2.0080494400000002</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54.785986479999998</v>
      </c>
      <c r="F25" s="16">
        <v>2.0146498099999999</v>
      </c>
      <c r="G25" s="14">
        <v>45.214013520000002</v>
      </c>
      <c r="H25" s="16">
        <v>2.0146498099999999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75.072285370000003</v>
      </c>
      <c r="F26" s="16">
        <v>2.33130477</v>
      </c>
      <c r="G26" s="14">
        <v>24.927714630000001</v>
      </c>
      <c r="H26" s="16">
        <v>2.33130477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73.135735170000004</v>
      </c>
      <c r="F27" s="16">
        <v>1.7988950800000001</v>
      </c>
      <c r="G27" s="14">
        <v>26.86426483</v>
      </c>
      <c r="H27" s="16">
        <v>1.7988950800000001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76.980422059999995</v>
      </c>
      <c r="F28" s="16">
        <v>2.1097315700000001</v>
      </c>
      <c r="G28" s="14">
        <v>23.019577940000001</v>
      </c>
      <c r="H28" s="16">
        <v>2.1097315700000001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63.139735100000003</v>
      </c>
      <c r="F29" s="16">
        <v>2.20343219</v>
      </c>
      <c r="G29" s="14">
        <v>36.860264899999997</v>
      </c>
      <c r="H29" s="16">
        <v>2.20343219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64.689089359999997</v>
      </c>
      <c r="F30" s="16">
        <v>2.2729866300000001</v>
      </c>
      <c r="G30" s="14">
        <v>35.310910640000003</v>
      </c>
      <c r="H30" s="16">
        <v>2.2729866300000001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69.212915679999995</v>
      </c>
      <c r="F31" s="16">
        <v>2.2388391900000002</v>
      </c>
      <c r="G31" s="14">
        <v>30.787084320000002</v>
      </c>
      <c r="H31" s="16">
        <v>2.2388391900000002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78.343294580000006</v>
      </c>
      <c r="F33" s="16">
        <v>1.91140613</v>
      </c>
      <c r="G33" s="14">
        <v>21.656705420000002</v>
      </c>
      <c r="H33" s="16">
        <v>1.91140613</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68.999132290000006</v>
      </c>
      <c r="F34" s="16">
        <v>2.12090851</v>
      </c>
      <c r="G34" s="14">
        <v>31.000867710000001</v>
      </c>
      <c r="H34" s="16">
        <v>2.12090851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69.574922740000005</v>
      </c>
      <c r="F35" s="16">
        <v>2.2933424200000001</v>
      </c>
      <c r="G35" s="14">
        <v>30.425077259999998</v>
      </c>
      <c r="H35" s="16">
        <v>2.2933424200000001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77.376444989999996</v>
      </c>
      <c r="F36" s="16">
        <v>1.55661435</v>
      </c>
      <c r="G36" s="14">
        <v>22.62355501</v>
      </c>
      <c r="H36" s="16">
        <v>1.55661435</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76.709416750000003</v>
      </c>
      <c r="F37" s="16">
        <v>1.8507025500000001</v>
      </c>
      <c r="G37" s="14">
        <v>23.290583250000001</v>
      </c>
      <c r="H37" s="16">
        <v>1.8507025500000001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74.618222880000005</v>
      </c>
      <c r="F39" s="16">
        <v>2.0179362799999998</v>
      </c>
      <c r="G39" s="14">
        <v>25.381777119999999</v>
      </c>
      <c r="H39" s="16">
        <v>2.0179362799999998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73.080554359999994</v>
      </c>
      <c r="F40" s="16">
        <v>1.9340627800000001</v>
      </c>
      <c r="G40" s="14">
        <v>26.919445639999999</v>
      </c>
      <c r="H40" s="16">
        <v>1.9340627800000001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70.448120889999998</v>
      </c>
      <c r="F41" s="16">
        <v>2.08041323</v>
      </c>
      <c r="G41" s="14">
        <v>29.551879110000002</v>
      </c>
      <c r="H41" s="16">
        <v>2.08041323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68.280822335312507</v>
      </c>
      <c r="F42" s="16">
        <f>IF(COUNT(F7:F41) &gt; 0, SQRT(SUMSQ(F7:F41)/(COUNT(F7:F41)*COUNT(F7:F41)) ), "—")</f>
        <v>0.3546826965875271</v>
      </c>
      <c r="G42" s="14">
        <f>IF(COUNT(G7:G41) &gt; 0, AVERAGE(G7:G41), "—")</f>
        <v>28.5941776646875</v>
      </c>
      <c r="H42" s="16">
        <f>IF(COUNT(H7:H41) &gt; 0, SQRT(SUMSQ(H7:H41)/(COUNT(H7:H41)*COUNT(H7:H41)) ), "—")</f>
        <v>0.3546826965875271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78.137244480000007</v>
      </c>
      <c r="F46" s="16">
        <v>1.3947236300000001</v>
      </c>
      <c r="G46" s="14">
        <v>21.86275552</v>
      </c>
      <c r="H46" s="16">
        <v>1.3947236300000001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73.655897510000003</v>
      </c>
      <c r="F47" s="16">
        <v>2.12397948</v>
      </c>
      <c r="G47" s="14">
        <v>26.344102490000001</v>
      </c>
      <c r="H47" s="16">
        <v>2.12397948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65.827446809999998</v>
      </c>
      <c r="F48" s="16">
        <v>2.2316340800000001</v>
      </c>
      <c r="G48" s="14">
        <v>34.172553190000002</v>
      </c>
      <c r="H48" s="16">
        <v>2.2316340800000001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75.895873449999996</v>
      </c>
      <c r="F50" s="16">
        <v>2.17415738</v>
      </c>
      <c r="G50" s="14">
        <v>24.10412655</v>
      </c>
      <c r="H50" s="16">
        <v>2.17415738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74.924447189999995</v>
      </c>
      <c r="F51" s="16">
        <v>2.28285596</v>
      </c>
      <c r="G51" s="14">
        <v>25.075552810000001</v>
      </c>
      <c r="H51" s="16">
        <v>2.28285596</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(2314/B53*100)</f>
        <v>82.319459267164703</v>
      </c>
      <c r="D53" s="15">
        <v>497</v>
      </c>
      <c r="E53" s="14">
        <v>82.102493899999999</v>
      </c>
      <c r="F53" s="16">
        <v>1.8742185899999999</v>
      </c>
      <c r="G53" s="14">
        <v>17.897506100000001</v>
      </c>
      <c r="H53" s="16">
        <v>1.8742185899999999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55.347116069999998</v>
      </c>
      <c r="F56" s="16">
        <v>2.1922645699999999</v>
      </c>
      <c r="G56" s="14">
        <v>44.652883930000002</v>
      </c>
      <c r="H56" s="16">
        <v>2.1922645699999999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77.346874529999994</v>
      </c>
      <c r="F61" s="16">
        <v>1.80437786</v>
      </c>
      <c r="G61" s="14">
        <v>22.653125469999999</v>
      </c>
      <c r="H61" s="16">
        <v>1.80437786</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53.567925219999999</v>
      </c>
      <c r="F62" s="16">
        <v>2.9250824</v>
      </c>
      <c r="G62" s="14">
        <v>46.432074780000001</v>
      </c>
      <c r="H62" s="16">
        <v>2.9250824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3511</v>
      </c>
      <c r="C67" s="14">
        <f>(2931/B67*100)</f>
        <v>83.480489888920545</v>
      </c>
      <c r="D67" s="15">
        <v>580</v>
      </c>
      <c r="E67" s="14">
        <v>78.824582890000002</v>
      </c>
      <c r="F67" s="16">
        <v>1.80939534</v>
      </c>
      <c r="G67" s="14">
        <v>21.175417110000001</v>
      </c>
      <c r="H67" s="16">
        <v>1.80939534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74.396778819999994</v>
      </c>
      <c r="F70" s="16">
        <v>2.5060919899999998</v>
      </c>
      <c r="G70" s="14">
        <v>25.603221179999998</v>
      </c>
      <c r="H70" s="16">
        <v>2.5060919899999998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50.355262099999997</v>
      </c>
      <c r="F72" s="16">
        <v>2.1571236900000001</v>
      </c>
      <c r="G72" s="14">
        <v>49.644737900000003</v>
      </c>
      <c r="H72" s="16">
        <v>2.1571236900000001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71.070431569999997</v>
      </c>
      <c r="F73" s="16">
        <v>2.3582755999999998</v>
      </c>
      <c r="G73" s="14">
        <v>28.92956843</v>
      </c>
      <c r="H73" s="16">
        <v>2.3582755999999998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78.887970769999995</v>
      </c>
      <c r="F75" s="16">
        <v>2.1567841300000001</v>
      </c>
      <c r="G75" s="14">
        <v>21.112029230000001</v>
      </c>
      <c r="H75" s="16">
        <v>2.1567841300000001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72.230292730000002</v>
      </c>
      <c r="F76" s="16">
        <v>1.69763905</v>
      </c>
      <c r="G76" s="14">
        <v>27.769707270000001</v>
      </c>
      <c r="H76" s="16">
        <v>1.69763905</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79.006362469999999</v>
      </c>
      <c r="F77" s="16">
        <v>1.7678121099999999</v>
      </c>
      <c r="G77" s="14">
        <v>20.993637530000001</v>
      </c>
      <c r="H77" s="16">
        <v>1.7678121099999999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64.586325650000006</v>
      </c>
      <c r="F81" s="16">
        <v>2.0582340499999998</v>
      </c>
      <c r="G81" s="14">
        <v>35.413674350000001</v>
      </c>
      <c r="H81" s="16">
        <v>2.0582340499999998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269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(6146/B7*100)</f>
        <v>83.426089317225461</v>
      </c>
      <c r="D7" s="15">
        <v>1221</v>
      </c>
      <c r="E7" s="14">
        <v>38.357769500000003</v>
      </c>
      <c r="F7" s="16">
        <v>1.53922995</v>
      </c>
      <c r="G7" s="14">
        <v>61.642230499999997</v>
      </c>
      <c r="H7" s="16">
        <v>1.53922995</v>
      </c>
      <c r="I7" s="14" t="s">
        <v>139</v>
      </c>
      <c r="J7" s="16" t="s">
        <v>139</v>
      </c>
      <c r="K7" s="14">
        <v>0</v>
      </c>
      <c r="L7" s="16">
        <v>0</v>
      </c>
      <c r="M7" s="14">
        <v>0</v>
      </c>
      <c r="N7" s="16">
        <v>0</v>
      </c>
      <c r="O7" s="14">
        <v>0</v>
      </c>
      <c r="P7" s="16">
        <v>0</v>
      </c>
      <c r="Q7" s="14">
        <v>0</v>
      </c>
      <c r="R7" s="16">
        <v>0</v>
      </c>
    </row>
    <row r="8" spans="1:18" x14ac:dyDescent="0.25">
      <c r="A8" s="11" t="s">
        <v>140</v>
      </c>
      <c r="B8" s="13">
        <v>3564</v>
      </c>
      <c r="C8" s="14">
        <f>(2949/B8*100)</f>
        <v>82.744107744107737</v>
      </c>
      <c r="D8" s="15">
        <v>615</v>
      </c>
      <c r="E8" s="14">
        <v>36.973433110000002</v>
      </c>
      <c r="F8" s="16">
        <v>2.1936177899999998</v>
      </c>
      <c r="G8" s="14">
        <v>63.026566889999998</v>
      </c>
      <c r="H8" s="16">
        <v>2.1936177899999998</v>
      </c>
      <c r="I8" s="14" t="s">
        <v>139</v>
      </c>
      <c r="J8" s="16" t="s">
        <v>139</v>
      </c>
      <c r="K8" s="14">
        <v>0</v>
      </c>
      <c r="L8" s="16">
        <v>0</v>
      </c>
      <c r="M8" s="14">
        <v>0</v>
      </c>
      <c r="N8" s="16">
        <v>0</v>
      </c>
      <c r="O8" s="14">
        <v>0</v>
      </c>
      <c r="P8" s="16">
        <v>0</v>
      </c>
      <c r="Q8" s="14">
        <v>0</v>
      </c>
      <c r="R8" s="16">
        <v>0</v>
      </c>
    </row>
    <row r="9" spans="1:18" x14ac:dyDescent="0.25">
      <c r="A9" s="11" t="s">
        <v>141</v>
      </c>
      <c r="B9" s="13">
        <v>4899</v>
      </c>
      <c r="C9" s="14">
        <f>(4093/B9*100)</f>
        <v>83.547662788324146</v>
      </c>
      <c r="D9" s="15">
        <v>806</v>
      </c>
      <c r="E9" s="14">
        <v>40.204958859999998</v>
      </c>
      <c r="F9" s="16">
        <v>1.7559507999999999</v>
      </c>
      <c r="G9" s="14">
        <v>59.795041140000002</v>
      </c>
      <c r="H9" s="16">
        <v>1.7559507999999999</v>
      </c>
      <c r="I9" s="14" t="s">
        <v>139</v>
      </c>
      <c r="J9" s="16" t="s">
        <v>139</v>
      </c>
      <c r="K9" s="14">
        <v>0</v>
      </c>
      <c r="L9" s="16">
        <v>0</v>
      </c>
      <c r="M9" s="14">
        <v>0</v>
      </c>
      <c r="N9" s="16">
        <v>0</v>
      </c>
      <c r="O9" s="14">
        <v>0</v>
      </c>
      <c r="P9" s="16">
        <v>0</v>
      </c>
      <c r="Q9" s="14">
        <v>0</v>
      </c>
      <c r="R9" s="16">
        <v>0</v>
      </c>
    </row>
    <row r="10" spans="1:18" x14ac:dyDescent="0.25">
      <c r="A10" s="11" t="s">
        <v>142</v>
      </c>
      <c r="B10" s="13">
        <v>10036</v>
      </c>
      <c r="C10" s="14">
        <f>(8320/B10*100)</f>
        <v>82.901554404145074</v>
      </c>
      <c r="D10" s="15">
        <v>1716</v>
      </c>
      <c r="E10" s="14">
        <v>40.240167739999997</v>
      </c>
      <c r="F10" s="16">
        <v>1.60224012</v>
      </c>
      <c r="G10" s="14">
        <v>59.759832260000003</v>
      </c>
      <c r="H10" s="16">
        <v>1.60224012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(2927/B11*100)</f>
        <v>82.381086405854205</v>
      </c>
      <c r="D11" s="15">
        <v>626</v>
      </c>
      <c r="E11" s="14">
        <v>54.381955159999997</v>
      </c>
      <c r="F11" s="16">
        <v>2.43185195</v>
      </c>
      <c r="G11" s="14">
        <v>45.618044840000003</v>
      </c>
      <c r="H11" s="16">
        <v>2.43185195</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(2893/B12*100)</f>
        <v>83.323732718894007</v>
      </c>
      <c r="D12" s="15">
        <v>579</v>
      </c>
      <c r="E12" s="14">
        <v>41.488832250000002</v>
      </c>
      <c r="F12" s="16">
        <v>2.20440988</v>
      </c>
      <c r="G12" s="14">
        <v>58.511167749999998</v>
      </c>
      <c r="H12" s="16">
        <v>2.20440988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(3000/B13*100)</f>
        <v>84.29334082607474</v>
      </c>
      <c r="D13" s="15">
        <v>559</v>
      </c>
      <c r="E13" s="14">
        <v>35.835210170000003</v>
      </c>
      <c r="F13" s="16">
        <v>2.3503669999999999</v>
      </c>
      <c r="G13" s="14">
        <v>64.164789830000004</v>
      </c>
      <c r="H13" s="16">
        <v>2.3503669999999999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(2320/B14*100)</f>
        <v>82.886745266166486</v>
      </c>
      <c r="D14" s="15">
        <v>479</v>
      </c>
      <c r="E14" s="14">
        <v>30.697265399999999</v>
      </c>
      <c r="F14" s="16">
        <v>2.3590741500000001</v>
      </c>
      <c r="G14" s="14">
        <v>69.302734599999994</v>
      </c>
      <c r="H14" s="16">
        <v>2.3590741500000001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(2496/B15*100)</f>
        <v>82.676382908247774</v>
      </c>
      <c r="D15" s="15">
        <v>523</v>
      </c>
      <c r="E15" s="14">
        <v>36.544333469999998</v>
      </c>
      <c r="F15" s="16">
        <v>2.3553574500000001</v>
      </c>
      <c r="G15" s="14">
        <v>63.455666530000002</v>
      </c>
      <c r="H15" s="16">
        <v>2.3553574500000001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(2483/B16*100)</f>
        <v>82.849516182849513</v>
      </c>
      <c r="D16" s="15">
        <v>514</v>
      </c>
      <c r="E16" s="14">
        <v>46.389530669999999</v>
      </c>
      <c r="F16" s="16">
        <v>2.0572860500000001</v>
      </c>
      <c r="G16" s="14">
        <v>53.610469330000001</v>
      </c>
      <c r="H16" s="16">
        <v>2.0572860500000001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(2756/B17*100)</f>
        <v>83.338373147868168</v>
      </c>
      <c r="D17" s="15">
        <v>551</v>
      </c>
      <c r="E17" s="14">
        <v>39.509050000000002</v>
      </c>
      <c r="F17" s="16">
        <v>2.2141384999999998</v>
      </c>
      <c r="G17" s="14">
        <v>60.490949999999998</v>
      </c>
      <c r="H17" s="16">
        <v>2.2141384999999998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(2338/B18*100)</f>
        <v>82.731776362349606</v>
      </c>
      <c r="D18" s="15">
        <v>488</v>
      </c>
      <c r="E18" s="14">
        <v>53.077305680000002</v>
      </c>
      <c r="F18" s="16">
        <v>2.7508137700000002</v>
      </c>
      <c r="G18" s="14">
        <v>46.922694319999998</v>
      </c>
      <c r="H18" s="16">
        <v>2.7508137700000002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(2329/B19*100)</f>
        <v>82.941595441595439</v>
      </c>
      <c r="D19" s="15">
        <v>479</v>
      </c>
      <c r="E19" s="14">
        <v>53.131281420000001</v>
      </c>
      <c r="F19" s="16">
        <v>2.1332134599999999</v>
      </c>
      <c r="G19" s="14">
        <v>46.868718579999999</v>
      </c>
      <c r="H19" s="16">
        <v>2.1332134599999999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(1351/B20*100)</f>
        <v>82.883435582822088</v>
      </c>
      <c r="D20" s="15">
        <v>279</v>
      </c>
      <c r="E20" s="14">
        <v>46.006442489999998</v>
      </c>
      <c r="F20" s="16">
        <v>3.22917626</v>
      </c>
      <c r="G20" s="14">
        <v>53.993557510000002</v>
      </c>
      <c r="H20" s="16">
        <v>3.22917626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(2450/B22*100)</f>
        <v>83.589218696690551</v>
      </c>
      <c r="D22" s="15">
        <v>481</v>
      </c>
      <c r="E22" s="14">
        <v>49.804873430000001</v>
      </c>
      <c r="F22" s="16">
        <v>2.44850184</v>
      </c>
      <c r="G22" s="14">
        <v>50.195126569999999</v>
      </c>
      <c r="H22" s="16">
        <v>2.44850184</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57.85173751</v>
      </c>
      <c r="F23" s="16">
        <v>2.13636515</v>
      </c>
      <c r="G23" s="14">
        <v>42.14826249</v>
      </c>
      <c r="H23" s="16">
        <v>2.13636515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(2753/B24*100)</f>
        <v>82.474535650089877</v>
      </c>
      <c r="D24" s="15">
        <v>585</v>
      </c>
      <c r="E24" s="14">
        <v>43.804660220000002</v>
      </c>
      <c r="F24" s="16">
        <v>2.2217186299999998</v>
      </c>
      <c r="G24" s="14">
        <v>56.195339779999998</v>
      </c>
      <c r="H24" s="16">
        <v>2.2217186299999998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51.465882200000003</v>
      </c>
      <c r="F25" s="16">
        <v>2.1447864399999998</v>
      </c>
      <c r="G25" s="14">
        <v>48.534117799999997</v>
      </c>
      <c r="H25" s="16">
        <v>2.1447864399999998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(2032/B26*100)</f>
        <v>82.938775510204081</v>
      </c>
      <c r="D26" s="15">
        <v>418</v>
      </c>
      <c r="E26" s="14">
        <v>51.508379290000001</v>
      </c>
      <c r="F26" s="16">
        <v>2.6455673800000001</v>
      </c>
      <c r="G26" s="14">
        <v>48.491620709999999</v>
      </c>
      <c r="H26" s="16">
        <v>2.6455673800000001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(2169/B27*100)</f>
        <v>82.912844036697251</v>
      </c>
      <c r="D27" s="15">
        <v>447</v>
      </c>
      <c r="E27" s="14">
        <v>47.781264999999998</v>
      </c>
      <c r="F27" s="16">
        <v>2.7769984299999999</v>
      </c>
      <c r="G27" s="14">
        <v>52.218735000000002</v>
      </c>
      <c r="H27" s="16">
        <v>2.7769984299999999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(3158/B28*100)</f>
        <v>83.877822045152726</v>
      </c>
      <c r="D28" s="15">
        <v>607</v>
      </c>
      <c r="E28" s="14">
        <v>61.006951880000003</v>
      </c>
      <c r="F28" s="16">
        <v>1.92989766</v>
      </c>
      <c r="G28" s="14">
        <v>38.993048119999997</v>
      </c>
      <c r="H28" s="16">
        <v>1.92989766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34.322021730000003</v>
      </c>
      <c r="F29" s="16">
        <v>1.9739978199999999</v>
      </c>
      <c r="G29" s="14">
        <v>65.677978269999997</v>
      </c>
      <c r="H29" s="16">
        <v>1.9739978199999999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(1874/B30*100)</f>
        <v>82.810428634555905</v>
      </c>
      <c r="D30" s="15">
        <v>389</v>
      </c>
      <c r="E30" s="14">
        <v>38.228615660000003</v>
      </c>
      <c r="F30" s="16">
        <v>2.4020781100000002</v>
      </c>
      <c r="G30" s="14">
        <v>61.771384339999997</v>
      </c>
      <c r="H30" s="16">
        <v>2.4020781100000002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(2267/B31*100)</f>
        <v>82.436363636363637</v>
      </c>
      <c r="D31" s="15">
        <v>483</v>
      </c>
      <c r="E31" s="14">
        <v>49.002910049999997</v>
      </c>
      <c r="F31" s="16">
        <v>2.0409128999999999</v>
      </c>
      <c r="G31" s="14">
        <v>50.997089950000003</v>
      </c>
      <c r="H31" s="16">
        <v>2.0409128999999999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(3042/B33*100)</f>
        <v>82.798040283070222</v>
      </c>
      <c r="D33" s="15">
        <v>632</v>
      </c>
      <c r="E33" s="14">
        <v>42.5465996</v>
      </c>
      <c r="F33" s="16">
        <v>2.3895762199999999</v>
      </c>
      <c r="G33" s="14">
        <v>57.4534004</v>
      </c>
      <c r="H33" s="16">
        <v>2.3895762199999999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(2747/B34*100)</f>
        <v>82.865761689291105</v>
      </c>
      <c r="D34" s="15">
        <v>568</v>
      </c>
      <c r="E34" s="14">
        <v>48.23676236</v>
      </c>
      <c r="F34" s="16">
        <v>2.1957113000000001</v>
      </c>
      <c r="G34" s="14">
        <v>51.76323764</v>
      </c>
      <c r="H34" s="16">
        <v>2.1957113000000001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(2910/B35*100)</f>
        <v>83.024251069900146</v>
      </c>
      <c r="D35" s="15">
        <v>595</v>
      </c>
      <c r="E35" s="14">
        <v>50.460873900000003</v>
      </c>
      <c r="F35" s="16">
        <v>2.4197071600000002</v>
      </c>
      <c r="G35" s="14">
        <v>49.539126099999997</v>
      </c>
      <c r="H35" s="16">
        <v>2.4197071600000002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(2776/B36*100)</f>
        <v>83.313325330132045</v>
      </c>
      <c r="D36" s="15">
        <v>556</v>
      </c>
      <c r="E36" s="14">
        <v>46.053072049999997</v>
      </c>
      <c r="F36" s="16">
        <v>2.1778869099999998</v>
      </c>
      <c r="G36" s="14">
        <v>53.946927950000003</v>
      </c>
      <c r="H36" s="16">
        <v>2.1778869099999998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(2245/B37*100)</f>
        <v>82.324899156582319</v>
      </c>
      <c r="D37" s="15">
        <v>482</v>
      </c>
      <c r="E37" s="14">
        <v>48.018204060000002</v>
      </c>
      <c r="F37" s="16">
        <v>2.8526892400000001</v>
      </c>
      <c r="G37" s="14">
        <v>51.981795939999998</v>
      </c>
      <c r="H37" s="16">
        <v>2.8526892400000001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(2437/B39*100)</f>
        <v>82.414609401420364</v>
      </c>
      <c r="D39" s="15">
        <v>520</v>
      </c>
      <c r="E39" s="14">
        <v>67.603993819999999</v>
      </c>
      <c r="F39" s="16">
        <v>2.6951383600000001</v>
      </c>
      <c r="G39" s="14">
        <v>32.396006180000001</v>
      </c>
      <c r="H39" s="16">
        <v>2.6951383600000001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(5964/B40*100)</f>
        <v>82.43261921216309</v>
      </c>
      <c r="D40" s="15">
        <v>1271</v>
      </c>
      <c r="E40" s="14">
        <v>45.912674770000002</v>
      </c>
      <c r="F40" s="16">
        <v>1.98723732</v>
      </c>
      <c r="G40" s="14">
        <v>54.087325229999998</v>
      </c>
      <c r="H40" s="16">
        <v>1.98723732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(2367/B41*100)</f>
        <v>82.820153953813858</v>
      </c>
      <c r="D41" s="15">
        <v>491</v>
      </c>
      <c r="E41" s="14">
        <v>44.289029210000002</v>
      </c>
      <c r="F41" s="16">
        <v>2.3678748999999999</v>
      </c>
      <c r="G41" s="14">
        <v>55.710970789999998</v>
      </c>
      <c r="H41" s="16">
        <v>2.3678748999999999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82.930300250776952</v>
      </c>
      <c r="D42" s="15">
        <f>IF(COUNT(D7:D41) &gt; 0, AVERAGE(D7:D41), "—")</f>
        <v>623.15625</v>
      </c>
      <c r="E42" s="14">
        <f>IF(COUNT(E7:E41) &gt; 0, AVERAGE(E7:E41), "—")</f>
        <v>45.960501333125009</v>
      </c>
      <c r="F42" s="16">
        <f>IF(COUNT(F7:F41) &gt; 0, SQRT(SUMSQ(F7:F41)/(COUNT(F7:F41)*COUNT(F7:F41)) ), "—")</f>
        <v>0.40789539098169697</v>
      </c>
      <c r="G42" s="14">
        <f>IF(COUNT(G7:G41) &gt; 0, AVERAGE(G7:G41), "—")</f>
        <v>54.039498666874984</v>
      </c>
      <c r="H42" s="16">
        <f>IF(COUNT(H7:H41) &gt; 0, SQRT(SUMSQ(H7:H41)/(COUNT(H7:H41)*COUNT(H7:H41)) ), "—")</f>
        <v>0.40789539098169697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(9485/B46*100)</f>
        <v>85.697506324539205</v>
      </c>
      <c r="D46" s="15">
        <v>1583</v>
      </c>
      <c r="E46" s="14">
        <v>64.482840150000001</v>
      </c>
      <c r="F46" s="16">
        <v>1.5914572199999999</v>
      </c>
      <c r="G46" s="14">
        <v>35.517159849999999</v>
      </c>
      <c r="H46" s="16">
        <v>1.5914572199999999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56.287861990000003</v>
      </c>
      <c r="F47" s="16">
        <v>2.4736453699999998</v>
      </c>
      <c r="G47" s="14">
        <v>43.712138009999997</v>
      </c>
      <c r="H47" s="16">
        <v>2.4736453699999998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(4249/B48*100)</f>
        <v>82.36092265943013</v>
      </c>
      <c r="D48" s="15">
        <v>910</v>
      </c>
      <c r="E48" s="14">
        <v>46.182844299999999</v>
      </c>
      <c r="F48" s="16">
        <v>2.4438078299999999</v>
      </c>
      <c r="G48" s="14">
        <v>53.817155700000001</v>
      </c>
      <c r="H48" s="16">
        <v>2.4438078299999999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(4696/B50*100)</f>
        <v>83.306723434450944</v>
      </c>
      <c r="D50" s="15">
        <v>941</v>
      </c>
      <c r="E50" s="14">
        <v>62.471757400000001</v>
      </c>
      <c r="F50" s="16">
        <v>1.8793601499999999</v>
      </c>
      <c r="G50" s="14">
        <v>37.528242599999999</v>
      </c>
      <c r="H50" s="16">
        <v>1.8793601499999999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(2873/B51*100)</f>
        <v>85.201660735468565</v>
      </c>
      <c r="D51" s="15">
        <v>499</v>
      </c>
      <c r="E51" s="14">
        <v>52.799925369999997</v>
      </c>
      <c r="F51" s="16">
        <v>1.8867161100000001</v>
      </c>
      <c r="G51" s="14">
        <v>47.200074630000003</v>
      </c>
      <c r="H51" s="16">
        <v>1.8867161100000001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51.191299979999997</v>
      </c>
      <c r="F52" s="16">
        <v>2.5081825200000001</v>
      </c>
      <c r="G52" s="14">
        <v>48.808700020000003</v>
      </c>
      <c r="H52" s="16">
        <v>2.5081825200000001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(2314/B53*100)</f>
        <v>82.319459267164703</v>
      </c>
      <c r="D53" s="15">
        <v>497</v>
      </c>
      <c r="E53" s="14">
        <v>59.369334119999998</v>
      </c>
      <c r="F53" s="16">
        <v>2.3882225699999999</v>
      </c>
      <c r="G53" s="14">
        <v>40.630665880000002</v>
      </c>
      <c r="H53" s="16">
        <v>2.3882225699999999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35.349507039999999</v>
      </c>
      <c r="F56" s="16">
        <v>2.2286843900000002</v>
      </c>
      <c r="G56" s="14">
        <v>64.650492959999994</v>
      </c>
      <c r="H56" s="16">
        <v>2.2286843900000002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(2769/B61*100)</f>
        <v>83.303249097472914</v>
      </c>
      <c r="D61" s="15">
        <v>555</v>
      </c>
      <c r="E61" s="14">
        <v>60.759577819999997</v>
      </c>
      <c r="F61" s="16">
        <v>2.14590959</v>
      </c>
      <c r="G61" s="14">
        <v>39.240422180000003</v>
      </c>
      <c r="H61" s="16">
        <v>2.14590959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44.960753140000001</v>
      </c>
      <c r="F62" s="16">
        <v>2.7988931400000001</v>
      </c>
      <c r="G62" s="14">
        <v>55.039246859999999</v>
      </c>
      <c r="H62" s="16">
        <v>2.7988931400000001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(2411/B66*100)</f>
        <v>83.310297166551479</v>
      </c>
      <c r="D66" s="15">
        <v>483</v>
      </c>
      <c r="E66" s="14">
        <v>74.722075489999995</v>
      </c>
      <c r="F66" s="16">
        <v>2.0570126900000001</v>
      </c>
      <c r="G66" s="14">
        <v>25.277924509999998</v>
      </c>
      <c r="H66" s="16">
        <v>2.0570126900000001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(2931/B67*100)</f>
        <v>83.480489888920545</v>
      </c>
      <c r="D67" s="15">
        <v>580</v>
      </c>
      <c r="E67" s="14">
        <v>67.399702719999993</v>
      </c>
      <c r="F67" s="16">
        <v>2.1808643700000001</v>
      </c>
      <c r="G67" s="14">
        <v>32.600297279999999</v>
      </c>
      <c r="H67" s="16">
        <v>2.1808643700000001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(2434/B70*100)</f>
        <v>83.100034141345162</v>
      </c>
      <c r="D70" s="15">
        <v>495</v>
      </c>
      <c r="E70" s="14">
        <v>48.688654630000002</v>
      </c>
      <c r="F70" s="16">
        <v>2.6356095800000001</v>
      </c>
      <c r="G70" s="14">
        <v>51.311345369999998</v>
      </c>
      <c r="H70" s="16">
        <v>2.6356095800000001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(3225/B72*100)</f>
        <v>82.926202108511177</v>
      </c>
      <c r="D72" s="15">
        <v>664</v>
      </c>
      <c r="E72" s="14">
        <v>45.204457730000001</v>
      </c>
      <c r="F72" s="16">
        <v>2.1507866600000001</v>
      </c>
      <c r="G72" s="14">
        <v>54.795542269999999</v>
      </c>
      <c r="H72" s="16">
        <v>2.1507866600000001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(3002/B73*100)</f>
        <v>83.458437586877949</v>
      </c>
      <c r="D73" s="15">
        <v>595</v>
      </c>
      <c r="E73" s="14">
        <v>65.198010850000003</v>
      </c>
      <c r="F73" s="16">
        <v>2.6476439900000002</v>
      </c>
      <c r="G73" s="14">
        <v>34.801989149999997</v>
      </c>
      <c r="H73" s="16">
        <v>2.6476439900000002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(2048/B75*100)</f>
        <v>85.120532003325025</v>
      </c>
      <c r="D75" s="15">
        <v>358</v>
      </c>
      <c r="E75" s="14">
        <v>71.786026300000003</v>
      </c>
      <c r="F75" s="16">
        <v>2.1252442999999999</v>
      </c>
      <c r="G75" s="14">
        <v>28.2139737</v>
      </c>
      <c r="H75" s="16">
        <v>2.1252442999999999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(5832/B76*100)</f>
        <v>82.699943278502559</v>
      </c>
      <c r="D76" s="15">
        <v>1220</v>
      </c>
      <c r="E76" s="14">
        <v>64.893815450000005</v>
      </c>
      <c r="F76" s="16">
        <v>1.44280808</v>
      </c>
      <c r="G76" s="14">
        <v>35.106184550000002</v>
      </c>
      <c r="H76" s="16">
        <v>1.44280808</v>
      </c>
      <c r="I76" s="14" t="s">
        <v>139</v>
      </c>
      <c r="J76" s="16" t="s">
        <v>139</v>
      </c>
      <c r="K76" s="14">
        <v>0</v>
      </c>
      <c r="L76" s="16">
        <v>0</v>
      </c>
      <c r="M76" s="14">
        <v>0</v>
      </c>
      <c r="N76" s="16">
        <v>0</v>
      </c>
      <c r="O76" s="14">
        <v>0</v>
      </c>
      <c r="P76" s="16">
        <v>0</v>
      </c>
      <c r="Q76" s="14">
        <v>0</v>
      </c>
      <c r="R76" s="16">
        <v>0</v>
      </c>
    </row>
    <row r="77" spans="1:18" x14ac:dyDescent="0.25">
      <c r="A77" s="11" t="s">
        <v>210</v>
      </c>
      <c r="B77" s="13">
        <v>2908</v>
      </c>
      <c r="C77" s="14">
        <f>(2409/B77*100)</f>
        <v>82.840440165061906</v>
      </c>
      <c r="D77" s="15">
        <v>499</v>
      </c>
      <c r="E77" s="14">
        <v>57.937931849999998</v>
      </c>
      <c r="F77" s="16">
        <v>2.4016271800000002</v>
      </c>
      <c r="G77" s="14">
        <v>42.062068150000002</v>
      </c>
      <c r="H77" s="16">
        <v>2.4016271800000002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(3466/B81*100)</f>
        <v>83.257266394427091</v>
      </c>
      <c r="D81" s="15">
        <v>697</v>
      </c>
      <c r="E81" s="14">
        <v>56.309000400000002</v>
      </c>
      <c r="F81" s="16">
        <v>2.4209217700000001</v>
      </c>
      <c r="G81" s="14">
        <v>43.690999599999998</v>
      </c>
      <c r="H81" s="16">
        <v>2.4209217700000001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15.52477771</v>
      </c>
      <c r="F7" s="16">
        <v>1.17140808</v>
      </c>
      <c r="G7" s="14">
        <v>84.475222290000005</v>
      </c>
      <c r="H7" s="16">
        <v>1.17140808</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15.016140330000001</v>
      </c>
      <c r="F8" s="16">
        <v>1.75648399</v>
      </c>
      <c r="G8" s="14">
        <v>84.983859670000001</v>
      </c>
      <c r="H8" s="16">
        <v>1.75648399</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14.99757273</v>
      </c>
      <c r="F9" s="16">
        <v>1.40096862</v>
      </c>
      <c r="G9" s="14">
        <v>85.002427269999998</v>
      </c>
      <c r="H9" s="16">
        <v>1.40096862</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12.510766139999999</v>
      </c>
      <c r="F10" s="16">
        <v>1.26086667</v>
      </c>
      <c r="G10" s="14">
        <v>87.489233859999999</v>
      </c>
      <c r="H10" s="16">
        <v>1.26086667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23.74223581</v>
      </c>
      <c r="F11" s="16">
        <v>2.16856347</v>
      </c>
      <c r="G11" s="14">
        <v>76.257764190000003</v>
      </c>
      <c r="H11" s="16">
        <v>2.16856347</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12.473291270000001</v>
      </c>
      <c r="F12" s="16">
        <v>1.64219274</v>
      </c>
      <c r="G12" s="14">
        <v>87.526708729999996</v>
      </c>
      <c r="H12" s="16">
        <v>1.64219274</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12.307096509999999</v>
      </c>
      <c r="F13" s="16">
        <v>1.7003422100000001</v>
      </c>
      <c r="G13" s="14">
        <v>87.692903490000006</v>
      </c>
      <c r="H13" s="16">
        <v>1.7003422100000001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14.381292780000001</v>
      </c>
      <c r="F14" s="16">
        <v>1.4506907</v>
      </c>
      <c r="G14" s="14">
        <v>85.618707220000005</v>
      </c>
      <c r="H14" s="16">
        <v>1.4506907</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14.120933279999999</v>
      </c>
      <c r="F15" s="16">
        <v>1.69249845</v>
      </c>
      <c r="G15" s="14">
        <v>85.879066719999997</v>
      </c>
      <c r="H15" s="16">
        <v>1.69249845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21.013254939999999</v>
      </c>
      <c r="F16" s="16">
        <v>2.09385201</v>
      </c>
      <c r="G16" s="14">
        <v>78.986745060000004</v>
      </c>
      <c r="H16" s="16">
        <v>2.09385201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13.358134939999999</v>
      </c>
      <c r="F17" s="16">
        <v>1.65287907</v>
      </c>
      <c r="G17" s="14">
        <v>86.641865060000001</v>
      </c>
      <c r="H17" s="16">
        <v>1.65287907</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19.299608360000001</v>
      </c>
      <c r="F18" s="16">
        <v>2.1647204800000002</v>
      </c>
      <c r="G18" s="14">
        <v>80.700391640000007</v>
      </c>
      <c r="H18" s="16">
        <v>2.1647204800000002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17.35506771</v>
      </c>
      <c r="F19" s="16">
        <v>2.0039419399999998</v>
      </c>
      <c r="G19" s="14">
        <v>82.64493229</v>
      </c>
      <c r="H19" s="16">
        <v>2.0039419399999998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19.84761541</v>
      </c>
      <c r="F20" s="16">
        <v>2.4796632000000001</v>
      </c>
      <c r="G20" s="14">
        <v>80.152384589999997</v>
      </c>
      <c r="H20" s="16">
        <v>2.4796632000000001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21.400923089999999</v>
      </c>
      <c r="F22" s="16">
        <v>1.8873993600000001</v>
      </c>
      <c r="G22" s="14">
        <v>78.599076909999994</v>
      </c>
      <c r="H22" s="16">
        <v>1.8873993600000001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20.775166729999999</v>
      </c>
      <c r="F23" s="16">
        <v>1.8079728500000001</v>
      </c>
      <c r="G23" s="14">
        <v>79.224833270000005</v>
      </c>
      <c r="H23" s="16">
        <v>1.8079728500000001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23.28652035</v>
      </c>
      <c r="F24" s="16">
        <v>1.5540757199999999</v>
      </c>
      <c r="G24" s="14">
        <v>76.713479649999996</v>
      </c>
      <c r="H24" s="16">
        <v>1.5540757199999999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25.21879019</v>
      </c>
      <c r="F25" s="16">
        <v>2.1120582899999998</v>
      </c>
      <c r="G25" s="14">
        <v>74.781209809999993</v>
      </c>
      <c r="H25" s="16">
        <v>2.1120582899999998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17.60032198</v>
      </c>
      <c r="F26" s="16">
        <v>1.77157203</v>
      </c>
      <c r="G26" s="14">
        <v>82.399678019999996</v>
      </c>
      <c r="H26" s="16">
        <v>1.77157203</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18.094292240000001</v>
      </c>
      <c r="F27" s="16">
        <v>1.72395097</v>
      </c>
      <c r="G27" s="14">
        <v>81.905707759999999</v>
      </c>
      <c r="H27" s="16">
        <v>1.72395097</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19.965481969999999</v>
      </c>
      <c r="F28" s="16">
        <v>1.57008473</v>
      </c>
      <c r="G28" s="14">
        <v>80.034518030000001</v>
      </c>
      <c r="H28" s="16">
        <v>1.57008473</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15.25971556</v>
      </c>
      <c r="F29" s="16">
        <v>1.7231617800000001</v>
      </c>
      <c r="G29" s="14">
        <v>84.740284439999996</v>
      </c>
      <c r="H29" s="16">
        <v>1.7231617800000001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11.63337318</v>
      </c>
      <c r="F30" s="16">
        <v>1.68111777</v>
      </c>
      <c r="G30" s="14">
        <v>88.366626819999993</v>
      </c>
      <c r="H30" s="16">
        <v>1.68111777</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22.773315140000001</v>
      </c>
      <c r="F31" s="16">
        <v>1.87995504</v>
      </c>
      <c r="G31" s="14">
        <v>77.226684860000006</v>
      </c>
      <c r="H31" s="16">
        <v>1.87995504</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12.486999259999999</v>
      </c>
      <c r="F33" s="16">
        <v>1.3551070700000001</v>
      </c>
      <c r="G33" s="14">
        <v>87.513000739999995</v>
      </c>
      <c r="H33" s="16">
        <v>1.3551070700000001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22.267592570000001</v>
      </c>
      <c r="F34" s="16">
        <v>1.9831717099999999</v>
      </c>
      <c r="G34" s="14">
        <v>77.732407429999995</v>
      </c>
      <c r="H34" s="16">
        <v>1.9831717099999999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22.584018199999999</v>
      </c>
      <c r="F35" s="16">
        <v>2.0163632300000001</v>
      </c>
      <c r="G35" s="14">
        <v>77.415981799999997</v>
      </c>
      <c r="H35" s="16">
        <v>2.0163632300000001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15.90668305</v>
      </c>
      <c r="F36" s="16">
        <v>1.6779682199999999</v>
      </c>
      <c r="G36" s="14">
        <v>84.093316950000002</v>
      </c>
      <c r="H36" s="16">
        <v>1.6779682199999999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18.08816925</v>
      </c>
      <c r="F37" s="16">
        <v>2.0831035899999999</v>
      </c>
      <c r="G37" s="14">
        <v>81.911830749999993</v>
      </c>
      <c r="H37" s="16">
        <v>2.0831035899999999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17.247023970000001</v>
      </c>
      <c r="F39" s="16">
        <v>1.7003560900000001</v>
      </c>
      <c r="G39" s="14">
        <v>82.752976029999999</v>
      </c>
      <c r="H39" s="16">
        <v>1.7003560900000001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12.390863</v>
      </c>
      <c r="F40" s="16">
        <v>1.33051618</v>
      </c>
      <c r="G40" s="14">
        <v>87.609137000000004</v>
      </c>
      <c r="H40" s="16">
        <v>1.33051618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15.921401400000001</v>
      </c>
      <c r="F41" s="16">
        <v>1.84435978</v>
      </c>
      <c r="G41" s="14">
        <v>84.078598600000007</v>
      </c>
      <c r="H41" s="16">
        <v>1.84435978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17.464013720312501</v>
      </c>
      <c r="F42" s="16">
        <f>IF(COUNT(F7:F41) &gt; 0, SQRT(SUMSQ(F7:F41)/(COUNT(F7:F41)*COUNT(F7:F41)) ), "—")</f>
        <v>0.3154574370289881</v>
      </c>
      <c r="G42" s="14">
        <f>IF(COUNT(G7:G41) &gt; 0, AVERAGE(G7:G41), "—")</f>
        <v>82.535986279687492</v>
      </c>
      <c r="H42" s="16">
        <f>IF(COUNT(H7:H41) &gt; 0, SQRT(SUMSQ(H7:H41)/(COUNT(H7:H41)*COUNT(H7:H41)) ), "—")</f>
        <v>0.3154574370289881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24.74939101</v>
      </c>
      <c r="F46" s="16">
        <v>1.3779718700000001</v>
      </c>
      <c r="G46" s="14">
        <v>75.250608990000003</v>
      </c>
      <c r="H46" s="16">
        <v>1.3779718700000001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18.946611860000001</v>
      </c>
      <c r="F47" s="16">
        <v>2.06100862</v>
      </c>
      <c r="G47" s="14">
        <v>81.053388139999996</v>
      </c>
      <c r="H47" s="16">
        <v>2.06100862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27.421124429999999</v>
      </c>
      <c r="F48" s="16">
        <v>2.1238577300000001</v>
      </c>
      <c r="G48" s="14">
        <v>72.578875569999994</v>
      </c>
      <c r="H48" s="16">
        <v>2.1238577300000001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21.236867019999998</v>
      </c>
      <c r="F50" s="16">
        <v>1.75278114</v>
      </c>
      <c r="G50" s="14">
        <v>78.763132979999995</v>
      </c>
      <c r="H50" s="16">
        <v>1.75278114</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21.018167460000001</v>
      </c>
      <c r="F51" s="16">
        <v>1.81061947</v>
      </c>
      <c r="G51" s="14">
        <v>78.981832539999999</v>
      </c>
      <c r="H51" s="16">
        <v>1.81061947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18.58794142</v>
      </c>
      <c r="F52" s="16">
        <v>1.72736658</v>
      </c>
      <c r="G52" s="14">
        <v>81.412058579999993</v>
      </c>
      <c r="H52" s="16">
        <v>1.72736658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26.315088450000001</v>
      </c>
      <c r="F53" s="16">
        <v>1.8747918299999999</v>
      </c>
      <c r="G53" s="14">
        <v>73.684911549999995</v>
      </c>
      <c r="H53" s="16">
        <v>1.8747918299999999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17.180435979999999</v>
      </c>
      <c r="F56" s="16">
        <v>1.69828259</v>
      </c>
      <c r="G56" s="14">
        <v>82.819564020000001</v>
      </c>
      <c r="H56" s="16">
        <v>1.69828259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17.526790930000001</v>
      </c>
      <c r="F61" s="16">
        <v>1.8932648999999999</v>
      </c>
      <c r="G61" s="14">
        <v>82.473209069999996</v>
      </c>
      <c r="H61" s="16">
        <v>1.8932648999999999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13.765453340000001</v>
      </c>
      <c r="F62" s="16">
        <v>1.7259945999999999</v>
      </c>
      <c r="G62" s="14">
        <v>86.234546660000007</v>
      </c>
      <c r="H62" s="16">
        <v>1.7259945999999999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24.41058889</v>
      </c>
      <c r="F66" s="16">
        <v>2.0645257099999998</v>
      </c>
      <c r="G66" s="14">
        <v>75.58941111</v>
      </c>
      <c r="H66" s="16">
        <v>2.0645257099999998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28.484620119999999</v>
      </c>
      <c r="F67" s="16">
        <v>2.3255829700000001</v>
      </c>
      <c r="G67" s="14">
        <v>71.515379879999998</v>
      </c>
      <c r="H67" s="16">
        <v>2.3255829700000001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18.794355830000001</v>
      </c>
      <c r="F70" s="16">
        <v>1.6456046600000001</v>
      </c>
      <c r="G70" s="14">
        <v>81.205644169999999</v>
      </c>
      <c r="H70" s="16">
        <v>1.6456046600000001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14.44931192</v>
      </c>
      <c r="F72" s="16">
        <v>1.4393809500000001</v>
      </c>
      <c r="G72" s="14">
        <v>85.55068808</v>
      </c>
      <c r="H72" s="16">
        <v>1.4393809500000001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22.5686623</v>
      </c>
      <c r="F73" s="16">
        <v>1.96503022</v>
      </c>
      <c r="G73" s="14">
        <v>77.4313377</v>
      </c>
      <c r="H73" s="16">
        <v>1.96503022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28.42931042</v>
      </c>
      <c r="F75" s="16">
        <v>2.4943201899999998</v>
      </c>
      <c r="G75" s="14">
        <v>71.570689580000007</v>
      </c>
      <c r="H75" s="16">
        <v>2.4943201899999998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28.569525989999999</v>
      </c>
      <c r="F76" s="16">
        <v>1.83139019</v>
      </c>
      <c r="G76" s="14">
        <v>71.430474009999998</v>
      </c>
      <c r="H76" s="16">
        <v>1.83139019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28.351546039999999</v>
      </c>
      <c r="F77" s="16">
        <v>2.1895491800000002</v>
      </c>
      <c r="G77" s="14">
        <v>71.648453959999998</v>
      </c>
      <c r="H77" s="16">
        <v>2.1895491800000002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27.745370210000001</v>
      </c>
      <c r="F81" s="16">
        <v>3.9679375700000001</v>
      </c>
      <c r="G81" s="14">
        <v>72.254629789999996</v>
      </c>
      <c r="H81" s="16">
        <v>3.9679375700000001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53.252528400000003</v>
      </c>
      <c r="F7" s="16">
        <v>1.72947783</v>
      </c>
      <c r="G7" s="14">
        <v>46.747471599999997</v>
      </c>
      <c r="H7" s="16">
        <v>1.72947783</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83.661354970000005</v>
      </c>
      <c r="F8" s="16">
        <v>1.41087338</v>
      </c>
      <c r="G8" s="14">
        <v>16.338645029999999</v>
      </c>
      <c r="H8" s="16">
        <v>1.41087338</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77.343871350000001</v>
      </c>
      <c r="F9" s="16">
        <v>1.6045436399999999</v>
      </c>
      <c r="G9" s="14">
        <v>22.656128649999999</v>
      </c>
      <c r="H9" s="16">
        <v>1.6045436399999999</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54.640257349999999</v>
      </c>
      <c r="F10" s="16">
        <v>1.6474233599999999</v>
      </c>
      <c r="G10" s="14">
        <v>45.359742650000001</v>
      </c>
      <c r="H10" s="16">
        <v>1.6474233599999999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85.028424310000005</v>
      </c>
      <c r="F11" s="16">
        <v>1.6639278200000001</v>
      </c>
      <c r="G11" s="14">
        <v>14.97157569</v>
      </c>
      <c r="H11" s="16">
        <v>1.6639278200000001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73.183103590000002</v>
      </c>
      <c r="F12" s="16">
        <v>2.1768352100000001</v>
      </c>
      <c r="G12" s="14">
        <v>26.816896409999998</v>
      </c>
      <c r="H12" s="16">
        <v>2.1768352100000001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65.242289040000003</v>
      </c>
      <c r="F13" s="16">
        <v>2.3467803200000001</v>
      </c>
      <c r="G13" s="14">
        <v>34.757710959999997</v>
      </c>
      <c r="H13" s="16">
        <v>2.3467803200000001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69.034585609999993</v>
      </c>
      <c r="F14" s="16">
        <v>2.37955513</v>
      </c>
      <c r="G14" s="14">
        <v>30.965414389999999</v>
      </c>
      <c r="H14" s="16">
        <v>2.37955513</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67.608124360000005</v>
      </c>
      <c r="F15" s="16">
        <v>2.2538978799999998</v>
      </c>
      <c r="G15" s="14">
        <v>32.391875640000002</v>
      </c>
      <c r="H15" s="16">
        <v>2.2538978799999998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70.661360560000006</v>
      </c>
      <c r="F16" s="16">
        <v>2.2044025399999998</v>
      </c>
      <c r="G16" s="14">
        <v>29.338639440000001</v>
      </c>
      <c r="H16" s="16">
        <v>2.2044025399999998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76.648504840000001</v>
      </c>
      <c r="F17" s="16">
        <v>2.0675816400000002</v>
      </c>
      <c r="G17" s="14">
        <v>23.351495159999999</v>
      </c>
      <c r="H17" s="16">
        <v>2.0675816400000002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76.706816239999995</v>
      </c>
      <c r="F18" s="16">
        <v>2.34331004</v>
      </c>
      <c r="G18" s="14">
        <v>23.293183760000002</v>
      </c>
      <c r="H18" s="16">
        <v>2.34331004</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65.266960679999997</v>
      </c>
      <c r="F19" s="16">
        <v>2.2666472299999998</v>
      </c>
      <c r="G19" s="14">
        <v>34.733039320000003</v>
      </c>
      <c r="H19" s="16">
        <v>2.2666472299999998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68.206128800000002</v>
      </c>
      <c r="F20" s="16">
        <v>2.8489201999999998</v>
      </c>
      <c r="G20" s="14">
        <v>31.793871200000002</v>
      </c>
      <c r="H20" s="16">
        <v>2.8489201999999998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67.554029990000004</v>
      </c>
      <c r="F22" s="16">
        <v>2.4601108800000002</v>
      </c>
      <c r="G22" s="14">
        <v>32.445970010000003</v>
      </c>
      <c r="H22" s="16">
        <v>2.4601108800000002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78.343618530000001</v>
      </c>
      <c r="F23" s="16">
        <v>1.7867250800000001</v>
      </c>
      <c r="G23" s="14">
        <v>21.656381469999999</v>
      </c>
      <c r="H23" s="16">
        <v>1.7867250800000001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73.541653150000002</v>
      </c>
      <c r="F24" s="16">
        <v>1.8423147099999999</v>
      </c>
      <c r="G24" s="14">
        <v>26.458346850000002</v>
      </c>
      <c r="H24" s="16">
        <v>1.8423147099999999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50.638939149999999</v>
      </c>
      <c r="F25" s="16">
        <v>2.1917211000000001</v>
      </c>
      <c r="G25" s="14">
        <v>49.361060850000001</v>
      </c>
      <c r="H25" s="16">
        <v>2.1917211000000001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72.387906150000006</v>
      </c>
      <c r="F26" s="16">
        <v>2.0993767800000001</v>
      </c>
      <c r="G26" s="14">
        <v>27.612093850000001</v>
      </c>
      <c r="H26" s="16">
        <v>2.0993767800000001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75.682500880000006</v>
      </c>
      <c r="F27" s="16">
        <v>2.0744530800000001</v>
      </c>
      <c r="G27" s="14">
        <v>24.317499120000001</v>
      </c>
      <c r="H27" s="16">
        <v>2.0744530800000001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78.952912100000006</v>
      </c>
      <c r="F28" s="16">
        <v>1.5729441</v>
      </c>
      <c r="G28" s="14">
        <v>21.047087900000001</v>
      </c>
      <c r="H28" s="16">
        <v>1.5729441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70.229497330000001</v>
      </c>
      <c r="F29" s="16">
        <v>2.19438719</v>
      </c>
      <c r="G29" s="14">
        <v>29.770502669999999</v>
      </c>
      <c r="H29" s="16">
        <v>2.19438719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51.900180990000003</v>
      </c>
      <c r="F30" s="16">
        <v>2.7609171699999999</v>
      </c>
      <c r="G30" s="14">
        <v>48.099819009999997</v>
      </c>
      <c r="H30" s="16">
        <v>2.7609171699999999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67.412858389999997</v>
      </c>
      <c r="F31" s="16">
        <v>2.54729808</v>
      </c>
      <c r="G31" s="14">
        <v>32.587141610000003</v>
      </c>
      <c r="H31" s="16">
        <v>2.54729808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76.178161860000003</v>
      </c>
      <c r="F33" s="16">
        <v>2.3226732000000001</v>
      </c>
      <c r="G33" s="14">
        <v>23.821838140000001</v>
      </c>
      <c r="H33" s="16">
        <v>2.3226732000000001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74.465649010000007</v>
      </c>
      <c r="F34" s="16">
        <v>1.6943234300000001</v>
      </c>
      <c r="G34" s="14">
        <v>25.53435099</v>
      </c>
      <c r="H34" s="16">
        <v>1.6943234300000001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77.876531069999999</v>
      </c>
      <c r="F35" s="16">
        <v>2.12177617</v>
      </c>
      <c r="G35" s="14">
        <v>22.123468930000001</v>
      </c>
      <c r="H35" s="16">
        <v>2.12177617</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80.381419840000007</v>
      </c>
      <c r="F36" s="16">
        <v>1.78451323</v>
      </c>
      <c r="G36" s="14">
        <v>19.61858016</v>
      </c>
      <c r="H36" s="16">
        <v>1.78451323</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69.638686230000005</v>
      </c>
      <c r="F37" s="16">
        <v>2.0734136200000002</v>
      </c>
      <c r="G37" s="14">
        <v>30.361313769999999</v>
      </c>
      <c r="H37" s="16">
        <v>2.0734136200000002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82.573293640000003</v>
      </c>
      <c r="F39" s="16">
        <v>1.73804705</v>
      </c>
      <c r="G39" s="14">
        <v>17.426706360000001</v>
      </c>
      <c r="H39" s="16">
        <v>1.73804705</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58.381334680000002</v>
      </c>
      <c r="F40" s="16">
        <v>2.25552712</v>
      </c>
      <c r="G40" s="14">
        <v>41.618665319999998</v>
      </c>
      <c r="H40" s="16">
        <v>2.25552712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53.678458859999999</v>
      </c>
      <c r="F41" s="16">
        <v>2.3859932599999998</v>
      </c>
      <c r="G41" s="14">
        <v>46.321541140000001</v>
      </c>
      <c r="H41" s="16">
        <v>2.3859932599999998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70.19693568593749</v>
      </c>
      <c r="F42" s="16">
        <f>IF(COUNT(F7:F41) &gt; 0, SQRT(SUMSQ(F7:F41)/(COUNT(F7:F41)*COUNT(F7:F41)) ), "—")</f>
        <v>0.37436498852904626</v>
      </c>
      <c r="G42" s="14">
        <f>IF(COUNT(G7:G41) &gt; 0, AVERAGE(G7:G41), "—")</f>
        <v>29.803064314062503</v>
      </c>
      <c r="H42" s="16">
        <f>IF(COUNT(H7:H41) &gt; 0, SQRT(SUMSQ(H7:H41)/(COUNT(H7:H41)*COUNT(H7:H41)) ), "—")</f>
        <v>0.37436498852904626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79.959327700000003</v>
      </c>
      <c r="F46" s="16">
        <v>1.5016965099999999</v>
      </c>
      <c r="G46" s="14">
        <v>20.040672300000001</v>
      </c>
      <c r="H46" s="16">
        <v>1.5016965099999999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76.701562460000005</v>
      </c>
      <c r="F47" s="16">
        <v>1.62269218</v>
      </c>
      <c r="G47" s="14">
        <v>23.298437539999998</v>
      </c>
      <c r="H47" s="16">
        <v>1.62269218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62.149109690000003</v>
      </c>
      <c r="F48" s="16">
        <v>1.9837402099999999</v>
      </c>
      <c r="G48" s="14">
        <v>37.850890309999997</v>
      </c>
      <c r="H48" s="16">
        <v>1.9837402099999999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80.777750929999996</v>
      </c>
      <c r="F50" s="16">
        <v>1.62358029</v>
      </c>
      <c r="G50" s="14">
        <v>19.22224907</v>
      </c>
      <c r="H50" s="16">
        <v>1.62358029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82.27423598</v>
      </c>
      <c r="F51" s="16">
        <v>2.04988342</v>
      </c>
      <c r="G51" s="14">
        <v>17.72576402</v>
      </c>
      <c r="H51" s="16">
        <v>2.04988342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79.232806339999996</v>
      </c>
      <c r="F52" s="16">
        <v>2.1363028599999998</v>
      </c>
      <c r="G52" s="14">
        <v>20.76719366</v>
      </c>
      <c r="H52" s="16">
        <v>2.1363028599999998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74.684931809999995</v>
      </c>
      <c r="F53" s="16">
        <v>1.90595482</v>
      </c>
      <c r="G53" s="14">
        <v>25.315068190000002</v>
      </c>
      <c r="H53" s="16">
        <v>1.90595482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53.841153319999997</v>
      </c>
      <c r="F56" s="16">
        <v>2.53987673</v>
      </c>
      <c r="G56" s="14">
        <v>46.158846680000003</v>
      </c>
      <c r="H56" s="16">
        <v>2.53987673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75.373889599999998</v>
      </c>
      <c r="F61" s="16">
        <v>2.2791930599999999</v>
      </c>
      <c r="G61" s="14">
        <v>24.626110400000002</v>
      </c>
      <c r="H61" s="16">
        <v>2.2791930599999999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45.103784990000001</v>
      </c>
      <c r="F62" s="16">
        <v>2.7637185099999999</v>
      </c>
      <c r="G62" s="14">
        <v>54.896215009999999</v>
      </c>
      <c r="H62" s="16">
        <v>2.7637185099999999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82.438667210000006</v>
      </c>
      <c r="F66" s="16">
        <v>1.5550676400000001</v>
      </c>
      <c r="G66" s="14">
        <v>17.561332790000002</v>
      </c>
      <c r="H66" s="16">
        <v>1.5550676400000001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83.285271080000001</v>
      </c>
      <c r="F67" s="16">
        <v>1.44456158</v>
      </c>
      <c r="G67" s="14">
        <v>16.714728919999999</v>
      </c>
      <c r="H67" s="16">
        <v>1.44456158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70.025439140000003</v>
      </c>
      <c r="F70" s="16">
        <v>2.38746568</v>
      </c>
      <c r="G70" s="14">
        <v>29.97456086</v>
      </c>
      <c r="H70" s="16">
        <v>2.38746568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54.493194320000001</v>
      </c>
      <c r="F72" s="16">
        <v>1.98618804</v>
      </c>
      <c r="G72" s="14">
        <v>45.506805679999999</v>
      </c>
      <c r="H72" s="16">
        <v>1.98618804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71.067043630000001</v>
      </c>
      <c r="F73" s="16">
        <v>2.19598271</v>
      </c>
      <c r="G73" s="14">
        <v>28.932956369999999</v>
      </c>
      <c r="H73" s="16">
        <v>2.19598271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80.16662461</v>
      </c>
      <c r="F75" s="16">
        <v>2.1057707200000002</v>
      </c>
      <c r="G75" s="14">
        <v>19.83337539</v>
      </c>
      <c r="H75" s="16">
        <v>2.1057707200000002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67.88292946</v>
      </c>
      <c r="F76" s="16">
        <v>1.6721505699999999</v>
      </c>
      <c r="G76" s="14">
        <v>32.11707054</v>
      </c>
      <c r="H76" s="16">
        <v>1.6721505699999999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85.569718390000006</v>
      </c>
      <c r="F77" s="16">
        <v>1.4849844299999999</v>
      </c>
      <c r="G77" s="14">
        <v>14.43028161</v>
      </c>
      <c r="H77" s="16">
        <v>1.4849844299999999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54.540907310000001</v>
      </c>
      <c r="F81" s="16">
        <v>4.3717136400000003</v>
      </c>
      <c r="G81" s="14">
        <v>45.459092689999999</v>
      </c>
      <c r="H81" s="16">
        <v>4.3717136400000003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43.0811499</v>
      </c>
      <c r="F7" s="16">
        <v>1.69880878</v>
      </c>
      <c r="G7" s="14">
        <v>56.9188501</v>
      </c>
      <c r="H7" s="16">
        <v>1.69880878</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56.081704010000003</v>
      </c>
      <c r="F8" s="16">
        <v>2.1609639299999999</v>
      </c>
      <c r="G8" s="14">
        <v>43.918295989999997</v>
      </c>
      <c r="H8" s="16">
        <v>2.1609639299999999</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44.965687600000003</v>
      </c>
      <c r="F9" s="16">
        <v>1.8661520300000001</v>
      </c>
      <c r="G9" s="14">
        <v>55.034312399999997</v>
      </c>
      <c r="H9" s="16">
        <v>1.8661520300000001</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37.219894940000003</v>
      </c>
      <c r="F10" s="16">
        <v>1.7464030500000001</v>
      </c>
      <c r="G10" s="14">
        <v>62.780105059999997</v>
      </c>
      <c r="H10" s="16">
        <v>1.7464030500000001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52.451571989999998</v>
      </c>
      <c r="F11" s="16">
        <v>2.2740133999999999</v>
      </c>
      <c r="G11" s="14">
        <v>47.548428010000002</v>
      </c>
      <c r="H11" s="16">
        <v>2.2740133999999999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62.551925060000002</v>
      </c>
      <c r="F12" s="16">
        <v>2.1135926399999998</v>
      </c>
      <c r="G12" s="14">
        <v>37.448074939999998</v>
      </c>
      <c r="H12" s="16">
        <v>2.1135926399999998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44.063105780000001</v>
      </c>
      <c r="F13" s="16">
        <v>2.52193421</v>
      </c>
      <c r="G13" s="14">
        <v>55.936894219999999</v>
      </c>
      <c r="H13" s="16">
        <v>2.52193421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41.475757629999997</v>
      </c>
      <c r="F14" s="16">
        <v>2.7120683300000001</v>
      </c>
      <c r="G14" s="14">
        <v>58.524242370000003</v>
      </c>
      <c r="H14" s="16">
        <v>2.7120683300000001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29.516949690000001</v>
      </c>
      <c r="F15" s="16">
        <v>2.0790177399999998</v>
      </c>
      <c r="G15" s="14">
        <v>70.483050309999996</v>
      </c>
      <c r="H15" s="16">
        <v>2.0790177399999998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43.201373269999998</v>
      </c>
      <c r="F16" s="16">
        <v>2.4615082799999999</v>
      </c>
      <c r="G16" s="14">
        <v>56.798626730000002</v>
      </c>
      <c r="H16" s="16">
        <v>2.4615082799999999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55.323812699999998</v>
      </c>
      <c r="F17" s="16">
        <v>2.35781134</v>
      </c>
      <c r="G17" s="14">
        <v>44.676187300000002</v>
      </c>
      <c r="H17" s="16">
        <v>2.35781134</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57.065657170000001</v>
      </c>
      <c r="F18" s="16">
        <v>2.2822866199999998</v>
      </c>
      <c r="G18" s="14">
        <v>42.934342829999999</v>
      </c>
      <c r="H18" s="16">
        <v>2.2822866199999998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51.95448571</v>
      </c>
      <c r="F19" s="16">
        <v>2.73821388</v>
      </c>
      <c r="G19" s="14">
        <v>48.04551429</v>
      </c>
      <c r="H19" s="16">
        <v>2.73821388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50.34999363</v>
      </c>
      <c r="F20" s="16">
        <v>3.2936097700000002</v>
      </c>
      <c r="G20" s="14">
        <v>49.65000637</v>
      </c>
      <c r="H20" s="16">
        <v>3.2936097700000002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49.804727669999998</v>
      </c>
      <c r="F22" s="16">
        <v>2.6561201300000001</v>
      </c>
      <c r="G22" s="14">
        <v>50.195272330000002</v>
      </c>
      <c r="H22" s="16">
        <v>2.6561201300000001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46.301209120000003</v>
      </c>
      <c r="F23" s="16">
        <v>2.1124643399999998</v>
      </c>
      <c r="G23" s="14">
        <v>53.698790879999997</v>
      </c>
      <c r="H23" s="16">
        <v>2.1124643399999998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39.814215619999999</v>
      </c>
      <c r="F24" s="16">
        <v>2.11061969</v>
      </c>
      <c r="G24" s="14">
        <v>60.185784380000001</v>
      </c>
      <c r="H24" s="16">
        <v>2.11061969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36.833226160000002</v>
      </c>
      <c r="F25" s="16">
        <v>2.4815739200000002</v>
      </c>
      <c r="G25" s="14">
        <v>63.166773839999998</v>
      </c>
      <c r="H25" s="16">
        <v>2.4815739200000002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62.806237830000001</v>
      </c>
      <c r="F26" s="16">
        <v>2.55422357</v>
      </c>
      <c r="G26" s="14">
        <v>37.193762169999999</v>
      </c>
      <c r="H26" s="16">
        <v>2.55422357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56.4859364</v>
      </c>
      <c r="F27" s="16">
        <v>2.5062481399999998</v>
      </c>
      <c r="G27" s="14">
        <v>43.5140636</v>
      </c>
      <c r="H27" s="16">
        <v>2.5062481399999998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54.251453220000002</v>
      </c>
      <c r="F28" s="16">
        <v>2.1903157100000001</v>
      </c>
      <c r="G28" s="14">
        <v>45.748546779999998</v>
      </c>
      <c r="H28" s="16">
        <v>2.1903157100000001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42.828475169999997</v>
      </c>
      <c r="F29" s="16">
        <v>2.0546732400000001</v>
      </c>
      <c r="G29" s="14">
        <v>57.171524830000003</v>
      </c>
      <c r="H29" s="16">
        <v>2.0546732400000001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39.002281080000003</v>
      </c>
      <c r="F30" s="16">
        <v>2.5328583500000001</v>
      </c>
      <c r="G30" s="14">
        <v>60.997718919999997</v>
      </c>
      <c r="H30" s="16">
        <v>2.5328583500000001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48.350612179999999</v>
      </c>
      <c r="F31" s="16">
        <v>2.3924298199999998</v>
      </c>
      <c r="G31" s="14">
        <v>51.649387820000001</v>
      </c>
      <c r="H31" s="16">
        <v>2.3924298199999998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49.103390169999997</v>
      </c>
      <c r="F33" s="16">
        <v>2.41542805</v>
      </c>
      <c r="G33" s="14">
        <v>50.896609830000003</v>
      </c>
      <c r="H33" s="16">
        <v>2.41542805</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68.622174849999993</v>
      </c>
      <c r="F34" s="16">
        <v>2.1984518099999999</v>
      </c>
      <c r="G34" s="14">
        <v>31.37782515</v>
      </c>
      <c r="H34" s="16">
        <v>2.1984518099999999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45.193563689999998</v>
      </c>
      <c r="F35" s="16">
        <v>2.09268549</v>
      </c>
      <c r="G35" s="14">
        <v>54.806436310000002</v>
      </c>
      <c r="H35" s="16">
        <v>2.09268549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51.575715150000001</v>
      </c>
      <c r="F36" s="16">
        <v>2.35332652</v>
      </c>
      <c r="G36" s="14">
        <v>48.424284849999999</v>
      </c>
      <c r="H36" s="16">
        <v>2.35332652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63.864056179999999</v>
      </c>
      <c r="F37" s="16">
        <v>2.2357542800000001</v>
      </c>
      <c r="G37" s="14">
        <v>36.135943820000001</v>
      </c>
      <c r="H37" s="16">
        <v>2.2357542800000001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55.940908589999999</v>
      </c>
      <c r="F39" s="16">
        <v>2.8987853700000001</v>
      </c>
      <c r="G39" s="14">
        <v>44.059091410000001</v>
      </c>
      <c r="H39" s="16">
        <v>2.8987853700000001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36.963644950000003</v>
      </c>
      <c r="F40" s="16">
        <v>2.0558540399999998</v>
      </c>
      <c r="G40" s="14">
        <v>63.036355049999997</v>
      </c>
      <c r="H40" s="16">
        <v>2.0558540399999998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40.05431377</v>
      </c>
      <c r="F41" s="16">
        <v>2.6617784900000001</v>
      </c>
      <c r="G41" s="14">
        <v>59.94568623</v>
      </c>
      <c r="H41" s="16">
        <v>2.6617784900000001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48.659350339999996</v>
      </c>
      <c r="F42" s="16">
        <f>IF(COUNT(F7:F41) &gt; 0, SQRT(SUMSQ(F7:F41)/(COUNT(F7:F41)*COUNT(F7:F41)) ), "—")</f>
        <v>0.41731245850456528</v>
      </c>
      <c r="G42" s="14">
        <f>IF(COUNT(G7:G41) &gt; 0, AVERAGE(G7:G41), "—")</f>
        <v>51.340649660000004</v>
      </c>
      <c r="H42" s="16">
        <f>IF(COUNT(H7:H41) &gt; 0, SQRT(SUMSQ(H7:H41)/(COUNT(H7:H41)*COUNT(H7:H41)) ), "—")</f>
        <v>0.41731245850456528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65.5891302</v>
      </c>
      <c r="F46" s="16">
        <v>1.6298136599999999</v>
      </c>
      <c r="G46" s="14">
        <v>34.4108698</v>
      </c>
      <c r="H46" s="16">
        <v>1.6298136599999999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61.448535589999999</v>
      </c>
      <c r="F47" s="16">
        <v>2.2909892100000002</v>
      </c>
      <c r="G47" s="14">
        <v>38.551464410000001</v>
      </c>
      <c r="H47" s="16">
        <v>2.2909892100000002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53.963164310000003</v>
      </c>
      <c r="F48" s="16">
        <v>2.07814444</v>
      </c>
      <c r="G48" s="14">
        <v>46.036835689999997</v>
      </c>
      <c r="H48" s="16">
        <v>2.07814444</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55.154177509999997</v>
      </c>
      <c r="F50" s="16">
        <v>1.9391045600000001</v>
      </c>
      <c r="G50" s="14">
        <v>44.845822490000003</v>
      </c>
      <c r="H50" s="16">
        <v>1.9391045600000001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56.725422880000004</v>
      </c>
      <c r="F51" s="16">
        <v>2.3478587100000001</v>
      </c>
      <c r="G51" s="14">
        <v>43.274577119999996</v>
      </c>
      <c r="H51" s="16">
        <v>2.3478587100000001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51.753207619999998</v>
      </c>
      <c r="F52" s="16">
        <v>2.7121815800000002</v>
      </c>
      <c r="G52" s="14">
        <v>48.246792380000002</v>
      </c>
      <c r="H52" s="16">
        <v>2.7121815800000002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64.669124600000004</v>
      </c>
      <c r="F53" s="16">
        <v>1.88505883</v>
      </c>
      <c r="G53" s="14">
        <v>35.330875399999996</v>
      </c>
      <c r="H53" s="16">
        <v>1.88505883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61.55060641</v>
      </c>
      <c r="F56" s="16">
        <v>2.3384350600000001</v>
      </c>
      <c r="G56" s="14">
        <v>38.44939359</v>
      </c>
      <c r="H56" s="16">
        <v>2.3384350600000001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55.61778554</v>
      </c>
      <c r="F61" s="16">
        <v>2.0527281199999998</v>
      </c>
      <c r="G61" s="14">
        <v>44.38221446</v>
      </c>
      <c r="H61" s="16">
        <v>2.0527281199999998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66.857970510000001</v>
      </c>
      <c r="F62" s="16">
        <v>2.7690341200000002</v>
      </c>
      <c r="G62" s="14">
        <v>33.142029489999999</v>
      </c>
      <c r="H62" s="16">
        <v>2.7690341200000002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68.036690199999995</v>
      </c>
      <c r="F66" s="16">
        <v>2.12032906</v>
      </c>
      <c r="G66" s="14">
        <v>31.963309800000001</v>
      </c>
      <c r="H66" s="16">
        <v>2.12032906</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52.359111830000003</v>
      </c>
      <c r="F67" s="16">
        <v>2.0722183699999999</v>
      </c>
      <c r="G67" s="14">
        <v>47.640888169999997</v>
      </c>
      <c r="H67" s="16">
        <v>2.0722183699999999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66.488167469999993</v>
      </c>
      <c r="F70" s="16">
        <v>2.44492617</v>
      </c>
      <c r="G70" s="14">
        <v>33.51183253</v>
      </c>
      <c r="H70" s="16">
        <v>2.44492617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60.777079579999999</v>
      </c>
      <c r="F72" s="16">
        <v>1.82673569</v>
      </c>
      <c r="G72" s="14">
        <v>39.222920420000001</v>
      </c>
      <c r="H72" s="16">
        <v>1.82673569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80.303157440000007</v>
      </c>
      <c r="F73" s="16">
        <v>1.8548404999999999</v>
      </c>
      <c r="G73" s="14">
        <v>19.69684256</v>
      </c>
      <c r="H73" s="16">
        <v>1.8548404999999999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59.056257600000002</v>
      </c>
      <c r="F75" s="16">
        <v>2.3861184299999998</v>
      </c>
      <c r="G75" s="14">
        <v>40.943742399999998</v>
      </c>
      <c r="H75" s="16">
        <v>2.3861184299999998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58.913683489999997</v>
      </c>
      <c r="F76" s="16">
        <v>1.71561531</v>
      </c>
      <c r="G76" s="14">
        <v>41.086316510000003</v>
      </c>
      <c r="H76" s="16">
        <v>1.71561531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57.43398208</v>
      </c>
      <c r="F77" s="16">
        <v>2.3099345900000001</v>
      </c>
      <c r="G77" s="14">
        <v>42.56601792</v>
      </c>
      <c r="H77" s="16">
        <v>2.3099345900000001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53.491744490000002</v>
      </c>
      <c r="F81" s="16">
        <v>4.4006550100000004</v>
      </c>
      <c r="G81" s="14">
        <v>46.508255509999998</v>
      </c>
      <c r="H81" s="16">
        <v>4.4006550100000004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35.617434379999999</v>
      </c>
      <c r="F7" s="16">
        <v>1.63472744</v>
      </c>
      <c r="G7" s="14">
        <v>64.382565619999994</v>
      </c>
      <c r="H7" s="16">
        <v>1.63472744</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49.177373559999999</v>
      </c>
      <c r="F8" s="16">
        <v>2.2310674800000001</v>
      </c>
      <c r="G8" s="14">
        <v>50.822626440000001</v>
      </c>
      <c r="H8" s="16">
        <v>2.2310674800000001</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46.64525579</v>
      </c>
      <c r="F9" s="16">
        <v>1.77193318</v>
      </c>
      <c r="G9" s="14">
        <v>53.35474421</v>
      </c>
      <c r="H9" s="16">
        <v>1.77193318</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31.842336060000001</v>
      </c>
      <c r="F10" s="16">
        <v>1.70854258</v>
      </c>
      <c r="G10" s="14">
        <v>68.157663940000006</v>
      </c>
      <c r="H10" s="16">
        <v>1.70854258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48.458760179999999</v>
      </c>
      <c r="F11" s="16">
        <v>2.4451585499999999</v>
      </c>
      <c r="G11" s="14">
        <v>51.541239820000001</v>
      </c>
      <c r="H11" s="16">
        <v>2.4451585499999999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44.95734049</v>
      </c>
      <c r="F12" s="16">
        <v>2.3860689100000001</v>
      </c>
      <c r="G12" s="14">
        <v>55.04265951</v>
      </c>
      <c r="H12" s="16">
        <v>2.3860689100000001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28.551956950000001</v>
      </c>
      <c r="F13" s="16">
        <v>2.4978464100000002</v>
      </c>
      <c r="G13" s="14">
        <v>71.448043049999995</v>
      </c>
      <c r="H13" s="16">
        <v>2.4978464100000002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31.787803459999999</v>
      </c>
      <c r="F14" s="16">
        <v>2.3319346900000002</v>
      </c>
      <c r="G14" s="14">
        <v>68.212196539999994</v>
      </c>
      <c r="H14" s="16">
        <v>2.3319346900000002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32.447722450000001</v>
      </c>
      <c r="F15" s="16">
        <v>2.2178438800000002</v>
      </c>
      <c r="G15" s="14">
        <v>67.552277549999999</v>
      </c>
      <c r="H15" s="16">
        <v>2.2178438800000002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42.643987109999998</v>
      </c>
      <c r="F16" s="16">
        <v>2.2927274</v>
      </c>
      <c r="G16" s="14">
        <v>57.356012890000002</v>
      </c>
      <c r="H16" s="16">
        <v>2.2927274</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48.285113019999997</v>
      </c>
      <c r="F17" s="16">
        <v>2.6556730100000001</v>
      </c>
      <c r="G17" s="14">
        <v>51.714886980000003</v>
      </c>
      <c r="H17" s="16">
        <v>2.6556730100000001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43.716512469999998</v>
      </c>
      <c r="F18" s="16">
        <v>2.7807438100000001</v>
      </c>
      <c r="G18" s="14">
        <v>56.283487530000002</v>
      </c>
      <c r="H18" s="16">
        <v>2.7807438100000001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43.635584559999998</v>
      </c>
      <c r="F19" s="16">
        <v>2.5522124800000001</v>
      </c>
      <c r="G19" s="14">
        <v>56.364415440000002</v>
      </c>
      <c r="H19" s="16">
        <v>2.5522124800000001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43.332833909999998</v>
      </c>
      <c r="F20" s="16">
        <v>2.86640915</v>
      </c>
      <c r="G20" s="14">
        <v>56.667166090000002</v>
      </c>
      <c r="H20" s="16">
        <v>2.86640915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38.085997640000002</v>
      </c>
      <c r="F22" s="16">
        <v>2.9196887600000001</v>
      </c>
      <c r="G22" s="14">
        <v>61.914002359999998</v>
      </c>
      <c r="H22" s="16">
        <v>2.9196887600000001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36.898399689999998</v>
      </c>
      <c r="F23" s="16">
        <v>1.73415842</v>
      </c>
      <c r="G23" s="14">
        <v>63.101600310000002</v>
      </c>
      <c r="H23" s="16">
        <v>1.73415842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29.23340499</v>
      </c>
      <c r="F24" s="16">
        <v>1.9371532300000001</v>
      </c>
      <c r="G24" s="14">
        <v>70.766595010000003</v>
      </c>
      <c r="H24" s="16">
        <v>1.9371532300000001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23.448737779999998</v>
      </c>
      <c r="F25" s="16">
        <v>2.1298628900000001</v>
      </c>
      <c r="G25" s="14">
        <v>76.551262219999998</v>
      </c>
      <c r="H25" s="16">
        <v>2.1298628900000001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50.578006670000001</v>
      </c>
      <c r="F26" s="16">
        <v>2.4128444600000001</v>
      </c>
      <c r="G26" s="14">
        <v>49.421993329999999</v>
      </c>
      <c r="H26" s="16">
        <v>2.4128444600000001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50.972083869999999</v>
      </c>
      <c r="F27" s="16">
        <v>2.8752161799999998</v>
      </c>
      <c r="G27" s="14">
        <v>49.027916130000001</v>
      </c>
      <c r="H27" s="16">
        <v>2.8752161799999998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46.4969039</v>
      </c>
      <c r="F28" s="16">
        <v>2.18074945</v>
      </c>
      <c r="G28" s="14">
        <v>53.5030961</v>
      </c>
      <c r="H28" s="16">
        <v>2.18074945</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41.719799530000003</v>
      </c>
      <c r="F29" s="16">
        <v>1.8883335400000001</v>
      </c>
      <c r="G29" s="14">
        <v>58.280200469999997</v>
      </c>
      <c r="H29" s="16">
        <v>1.8883335400000001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31.129360170000002</v>
      </c>
      <c r="F30" s="16">
        <v>1.7145004399999999</v>
      </c>
      <c r="G30" s="14">
        <v>68.870639830000002</v>
      </c>
      <c r="H30" s="16">
        <v>1.7145004399999999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42.878291539999999</v>
      </c>
      <c r="F31" s="16">
        <v>2.5381880099999998</v>
      </c>
      <c r="G31" s="14">
        <v>57.121708460000001</v>
      </c>
      <c r="H31" s="16">
        <v>2.5381880099999998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39.118955409999998</v>
      </c>
      <c r="F33" s="16">
        <v>2.3377241199999998</v>
      </c>
      <c r="G33" s="14">
        <v>60.881044590000002</v>
      </c>
      <c r="H33" s="16">
        <v>2.3377241199999998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55.240804859999997</v>
      </c>
      <c r="F34" s="16">
        <v>2.3850049100000001</v>
      </c>
      <c r="G34" s="14">
        <v>44.759195140000003</v>
      </c>
      <c r="H34" s="16">
        <v>2.3850049100000001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54.722902570000002</v>
      </c>
      <c r="F35" s="16">
        <v>2.7824350500000001</v>
      </c>
      <c r="G35" s="14">
        <v>45.277097429999998</v>
      </c>
      <c r="H35" s="16">
        <v>2.7824350500000001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40.346425269999997</v>
      </c>
      <c r="F36" s="16">
        <v>2.5015719399999998</v>
      </c>
      <c r="G36" s="14">
        <v>59.653574730000003</v>
      </c>
      <c r="H36" s="16">
        <v>2.5015719399999998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45.951454220000002</v>
      </c>
      <c r="F37" s="16">
        <v>2.5054358900000002</v>
      </c>
      <c r="G37" s="14">
        <v>54.048545779999998</v>
      </c>
      <c r="H37" s="16">
        <v>2.5054358900000002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48.308607430000002</v>
      </c>
      <c r="F39" s="16">
        <v>2.1805321499999999</v>
      </c>
      <c r="G39" s="14">
        <v>51.691392569999998</v>
      </c>
      <c r="H39" s="16">
        <v>2.1805321499999999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34.020267070000003</v>
      </c>
      <c r="F40" s="16">
        <v>1.8414621099999999</v>
      </c>
      <c r="G40" s="14">
        <v>65.979732929999997</v>
      </c>
      <c r="H40" s="16">
        <v>1.8414621099999999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33.147488580000001</v>
      </c>
      <c r="F41" s="16">
        <v>2.07766144</v>
      </c>
      <c r="G41" s="14">
        <v>66.852511419999999</v>
      </c>
      <c r="H41" s="16">
        <v>2.07766144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41.043684549375008</v>
      </c>
      <c r="F42" s="16">
        <f>IF(COUNT(F7:F41) &gt; 0, SQRT(SUMSQ(F7:F41)/(COUNT(F7:F41)*COUNT(F7:F41)) ), "—")</f>
        <v>0.41014268572612272</v>
      </c>
      <c r="G42" s="14">
        <f>IF(COUNT(G7:G41) &gt; 0, AVERAGE(G7:G41), "—")</f>
        <v>58.956315450624999</v>
      </c>
      <c r="H42" s="16">
        <f>IF(COUNT(H7:H41) &gt; 0, SQRT(SUMSQ(H7:H41)/(COUNT(H7:H41)*COUNT(H7:H41)) ), "—")</f>
        <v>0.41014268572612272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56.293291259999997</v>
      </c>
      <c r="F46" s="16">
        <v>1.7308803500000001</v>
      </c>
      <c r="G46" s="14">
        <v>43.706708740000003</v>
      </c>
      <c r="H46" s="16">
        <v>1.7308803500000001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46.788202079999998</v>
      </c>
      <c r="F47" s="16">
        <v>2.1769967100000001</v>
      </c>
      <c r="G47" s="14">
        <v>53.211797920000002</v>
      </c>
      <c r="H47" s="16">
        <v>2.1769967100000001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32.71479231</v>
      </c>
      <c r="F48" s="16">
        <v>1.9468969300000001</v>
      </c>
      <c r="G48" s="14">
        <v>67.285207689999993</v>
      </c>
      <c r="H48" s="16">
        <v>1.9468969300000001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49.310842899999997</v>
      </c>
      <c r="F50" s="16">
        <v>2.1012667600000001</v>
      </c>
      <c r="G50" s="14">
        <v>50.689157100000003</v>
      </c>
      <c r="H50" s="16">
        <v>2.1012667600000001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43.639480720000002</v>
      </c>
      <c r="F51" s="16">
        <v>2.3541050000000001</v>
      </c>
      <c r="G51" s="14">
        <v>56.360519279999998</v>
      </c>
      <c r="H51" s="16">
        <v>2.3541050000000001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46.7981914</v>
      </c>
      <c r="F52" s="16">
        <v>2.4234393500000002</v>
      </c>
      <c r="G52" s="14">
        <v>53.2018086</v>
      </c>
      <c r="H52" s="16">
        <v>2.4234393500000002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52.481621629999999</v>
      </c>
      <c r="F53" s="16">
        <v>1.89160467</v>
      </c>
      <c r="G53" s="14">
        <v>47.518378370000001</v>
      </c>
      <c r="H53" s="16">
        <v>1.89160467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23.809247419999998</v>
      </c>
      <c r="F56" s="16">
        <v>1.83197487</v>
      </c>
      <c r="G56" s="14">
        <v>76.190752579999995</v>
      </c>
      <c r="H56" s="16">
        <v>1.83197487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54.736646120000003</v>
      </c>
      <c r="F61" s="16">
        <v>2.3498237099999999</v>
      </c>
      <c r="G61" s="14">
        <v>45.263353879999997</v>
      </c>
      <c r="H61" s="16">
        <v>2.3498237099999999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24.261089949999999</v>
      </c>
      <c r="F62" s="16">
        <v>2.07562376</v>
      </c>
      <c r="G62" s="14">
        <v>75.738910050000001</v>
      </c>
      <c r="H62" s="16">
        <v>2.07562376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59.921005649999998</v>
      </c>
      <c r="F66" s="16">
        <v>2.1418925799999999</v>
      </c>
      <c r="G66" s="14">
        <v>40.078994350000002</v>
      </c>
      <c r="H66" s="16">
        <v>2.1418925799999999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46.962947239999998</v>
      </c>
      <c r="F67" s="16">
        <v>2.0551097500000002</v>
      </c>
      <c r="G67" s="14">
        <v>53.037052760000002</v>
      </c>
      <c r="H67" s="16">
        <v>2.0551097500000002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46.719930060000003</v>
      </c>
      <c r="F70" s="16">
        <v>2.92075197</v>
      </c>
      <c r="G70" s="14">
        <v>53.280069939999997</v>
      </c>
      <c r="H70" s="16">
        <v>2.92075197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19.16588887</v>
      </c>
      <c r="F72" s="16">
        <v>1.7665989200000001</v>
      </c>
      <c r="G72" s="14">
        <v>80.834111129999997</v>
      </c>
      <c r="H72" s="16">
        <v>1.7665989200000001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45.85037595</v>
      </c>
      <c r="F73" s="16">
        <v>2.6047027200000001</v>
      </c>
      <c r="G73" s="14">
        <v>54.14962405</v>
      </c>
      <c r="H73" s="16">
        <v>2.6047027200000001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64.321841969999994</v>
      </c>
      <c r="F75" s="16">
        <v>2.2179793600000002</v>
      </c>
      <c r="G75" s="14">
        <v>35.678158029999999</v>
      </c>
      <c r="H75" s="16">
        <v>2.2179793600000002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50.903572099999998</v>
      </c>
      <c r="F76" s="16">
        <v>1.7936209000000001</v>
      </c>
      <c r="G76" s="14">
        <v>49.096427900000002</v>
      </c>
      <c r="H76" s="16">
        <v>1.7936209000000001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55.614917249999998</v>
      </c>
      <c r="F77" s="16">
        <v>2.00437412</v>
      </c>
      <c r="G77" s="14">
        <v>44.385082750000002</v>
      </c>
      <c r="H77" s="16">
        <v>2.00437412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40.243641820000001</v>
      </c>
      <c r="F81" s="16">
        <v>5.3038186600000001</v>
      </c>
      <c r="G81" s="14">
        <v>59.756358179999999</v>
      </c>
      <c r="H81" s="16">
        <v>5.3038186600000001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27.597069479999998</v>
      </c>
      <c r="F7" s="16">
        <v>1.33277405</v>
      </c>
      <c r="G7" s="14">
        <v>72.402930519999998</v>
      </c>
      <c r="H7" s="16">
        <v>1.33277405</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34.533218079999997</v>
      </c>
      <c r="F8" s="16">
        <v>2.0839620600000002</v>
      </c>
      <c r="G8" s="14">
        <v>65.466781920000003</v>
      </c>
      <c r="H8" s="16">
        <v>2.0839620600000002</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25.62780742</v>
      </c>
      <c r="F9" s="16">
        <v>1.3626284799999999</v>
      </c>
      <c r="G9" s="14">
        <v>74.372192580000004</v>
      </c>
      <c r="H9" s="16">
        <v>1.3626284799999999</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23.728158270000002</v>
      </c>
      <c r="F10" s="16">
        <v>1.4247214399999999</v>
      </c>
      <c r="G10" s="14">
        <v>76.271841730000006</v>
      </c>
      <c r="H10" s="16">
        <v>1.4247214399999999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29.493358839999999</v>
      </c>
      <c r="F11" s="16">
        <v>2.0719994900000001</v>
      </c>
      <c r="G11" s="14">
        <v>70.506641160000001</v>
      </c>
      <c r="H11" s="16">
        <v>2.0719994900000001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36.961096490000003</v>
      </c>
      <c r="F12" s="16">
        <v>1.9609732799999999</v>
      </c>
      <c r="G12" s="14">
        <v>63.038903509999997</v>
      </c>
      <c r="H12" s="16">
        <v>1.9609732799999999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17.468171869999999</v>
      </c>
      <c r="F13" s="16">
        <v>2.0872276200000002</v>
      </c>
      <c r="G13" s="14">
        <v>82.531828129999994</v>
      </c>
      <c r="H13" s="16">
        <v>2.0872276200000002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23.006612489999998</v>
      </c>
      <c r="F14" s="16">
        <v>2.3819777499999999</v>
      </c>
      <c r="G14" s="14">
        <v>76.993387510000005</v>
      </c>
      <c r="H14" s="16">
        <v>2.3819777499999999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15.19887574</v>
      </c>
      <c r="F15" s="16">
        <v>1.90310555</v>
      </c>
      <c r="G15" s="14">
        <v>84.801124259999995</v>
      </c>
      <c r="H15" s="16">
        <v>1.90310555</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32.065638149999998</v>
      </c>
      <c r="F16" s="16">
        <v>2.1379305099999999</v>
      </c>
      <c r="G16" s="14">
        <v>67.934361850000002</v>
      </c>
      <c r="H16" s="16">
        <v>2.1379305099999999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35.277383280000002</v>
      </c>
      <c r="F17" s="16">
        <v>2.1167616900000001</v>
      </c>
      <c r="G17" s="14">
        <v>64.722616720000005</v>
      </c>
      <c r="H17" s="16">
        <v>2.1167616900000001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30.413615010000001</v>
      </c>
      <c r="F18" s="16">
        <v>1.83039449</v>
      </c>
      <c r="G18" s="14">
        <v>69.586384989999999</v>
      </c>
      <c r="H18" s="16">
        <v>1.83039449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32.314405809999997</v>
      </c>
      <c r="F19" s="16">
        <v>2.70933606</v>
      </c>
      <c r="G19" s="14">
        <v>67.685594190000003</v>
      </c>
      <c r="H19" s="16">
        <v>2.70933606</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29.002230650000001</v>
      </c>
      <c r="F20" s="16">
        <v>2.7292287100000001</v>
      </c>
      <c r="G20" s="14">
        <v>70.997769349999999</v>
      </c>
      <c r="H20" s="16">
        <v>2.7292287100000001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33.576398820000001</v>
      </c>
      <c r="F22" s="16">
        <v>2.50548378</v>
      </c>
      <c r="G22" s="14">
        <v>66.423601180000006</v>
      </c>
      <c r="H22" s="16">
        <v>2.50548378</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34.695030850000002</v>
      </c>
      <c r="F23" s="16">
        <v>2.49733107</v>
      </c>
      <c r="G23" s="14">
        <v>65.304969150000005</v>
      </c>
      <c r="H23" s="16">
        <v>2.49733107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53.897914620000002</v>
      </c>
      <c r="F24" s="16">
        <v>2.4228877799999999</v>
      </c>
      <c r="G24" s="14">
        <v>46.102085379999998</v>
      </c>
      <c r="H24" s="16">
        <v>2.4228877799999999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40.625663719999999</v>
      </c>
      <c r="F25" s="16">
        <v>2.3432666000000002</v>
      </c>
      <c r="G25" s="14">
        <v>59.374336280000001</v>
      </c>
      <c r="H25" s="16">
        <v>2.3432666000000002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32.752268710000003</v>
      </c>
      <c r="F26" s="16">
        <v>2.3177239200000002</v>
      </c>
      <c r="G26" s="14">
        <v>67.247731290000004</v>
      </c>
      <c r="H26" s="16">
        <v>2.3177239200000002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33.819166039999999</v>
      </c>
      <c r="F27" s="16">
        <v>2.2497904499999999</v>
      </c>
      <c r="G27" s="14">
        <v>66.180833960000001</v>
      </c>
      <c r="H27" s="16">
        <v>2.2497904499999999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34.174769820000002</v>
      </c>
      <c r="F28" s="16">
        <v>2.0297642499999999</v>
      </c>
      <c r="G28" s="14">
        <v>65.825230180000005</v>
      </c>
      <c r="H28" s="16">
        <v>2.0297642499999999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22.938218930000001</v>
      </c>
      <c r="F29" s="16">
        <v>2.0329596900000002</v>
      </c>
      <c r="G29" s="14">
        <v>77.061781069999995</v>
      </c>
      <c r="H29" s="16">
        <v>2.0329596900000002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26.813441539999999</v>
      </c>
      <c r="F30" s="16">
        <v>2.2473614199999998</v>
      </c>
      <c r="G30" s="14">
        <v>73.186558460000001</v>
      </c>
      <c r="H30" s="16">
        <v>2.2473614199999998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24.163069629999999</v>
      </c>
      <c r="F31" s="16">
        <v>2.0292786299999999</v>
      </c>
      <c r="G31" s="14">
        <v>75.836930370000005</v>
      </c>
      <c r="H31" s="16">
        <v>2.0292786299999999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25.30885074</v>
      </c>
      <c r="F33" s="16">
        <v>1.8896648599999999</v>
      </c>
      <c r="G33" s="14">
        <v>74.691149260000003</v>
      </c>
      <c r="H33" s="16">
        <v>1.8896648599999999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37.924506139999998</v>
      </c>
      <c r="F34" s="16">
        <v>2.2442783199999998</v>
      </c>
      <c r="G34" s="14">
        <v>62.075493860000002</v>
      </c>
      <c r="H34" s="16">
        <v>2.2442783199999998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46.490605299999999</v>
      </c>
      <c r="F35" s="16">
        <v>2.7460358899999999</v>
      </c>
      <c r="G35" s="14">
        <v>53.509394700000001</v>
      </c>
      <c r="H35" s="16">
        <v>2.7460358899999999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34.62372302</v>
      </c>
      <c r="F36" s="16">
        <v>2.1642824599999999</v>
      </c>
      <c r="G36" s="14">
        <v>65.37627698</v>
      </c>
      <c r="H36" s="16">
        <v>2.1642824599999999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32.269121030000001</v>
      </c>
      <c r="F37" s="16">
        <v>2.3071305999999998</v>
      </c>
      <c r="G37" s="14">
        <v>67.730878970000006</v>
      </c>
      <c r="H37" s="16">
        <v>2.3071305999999998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40.239037519999997</v>
      </c>
      <c r="F39" s="16">
        <v>2.2173969699999998</v>
      </c>
      <c r="G39" s="14">
        <v>59.760962480000003</v>
      </c>
      <c r="H39" s="16">
        <v>2.2173969699999998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26.543870739999999</v>
      </c>
      <c r="F40" s="16">
        <v>1.76917967</v>
      </c>
      <c r="G40" s="14">
        <v>73.456129259999997</v>
      </c>
      <c r="H40" s="16">
        <v>1.76917967</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26.421208979999999</v>
      </c>
      <c r="F41" s="16">
        <v>1.9355874799999999</v>
      </c>
      <c r="G41" s="14">
        <v>73.578791019999997</v>
      </c>
      <c r="H41" s="16">
        <v>1.9355874799999999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31.248890866562498</v>
      </c>
      <c r="F42" s="16">
        <f>IF(COUNT(F7:F41) &gt; 0, SQRT(SUMSQ(F7:F41)/(COUNT(F7:F41)*COUNT(F7:F41)) ), "—")</f>
        <v>0.38102759422445193</v>
      </c>
      <c r="G42" s="14">
        <f>IF(COUNT(G7:G41) &gt; 0, AVERAGE(G7:G41), "—")</f>
        <v>68.751109133437538</v>
      </c>
      <c r="H42" s="16">
        <f>IF(COUNT(H7:H41) &gt; 0, SQRT(SUMSQ(H7:H41)/(COUNT(H7:H41)*COUNT(H7:H41)) ), "—")</f>
        <v>0.38102759422445193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44.894569730000001</v>
      </c>
      <c r="F46" s="16">
        <v>1.62869635</v>
      </c>
      <c r="G46" s="14">
        <v>55.105430269999999</v>
      </c>
      <c r="H46" s="16">
        <v>1.62869635</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44.713379140000001</v>
      </c>
      <c r="F47" s="16">
        <v>2.7311572900000001</v>
      </c>
      <c r="G47" s="14">
        <v>55.286620859999999</v>
      </c>
      <c r="H47" s="16">
        <v>2.7311572900000001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30.547438320000001</v>
      </c>
      <c r="F48" s="16">
        <v>2.0761983900000001</v>
      </c>
      <c r="G48" s="14">
        <v>69.452561680000002</v>
      </c>
      <c r="H48" s="16">
        <v>2.0761983900000001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33.225293219999998</v>
      </c>
      <c r="F50" s="16">
        <v>2.05804688</v>
      </c>
      <c r="G50" s="14">
        <v>66.774706780000002</v>
      </c>
      <c r="H50" s="16">
        <v>2.05804688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25.204073449999999</v>
      </c>
      <c r="F51" s="16">
        <v>1.95239363</v>
      </c>
      <c r="G51" s="14">
        <v>74.795926550000004</v>
      </c>
      <c r="H51" s="16">
        <v>1.95239363</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24.32298814</v>
      </c>
      <c r="F52" s="16">
        <v>1.8199926900000001</v>
      </c>
      <c r="G52" s="14">
        <v>75.677011859999993</v>
      </c>
      <c r="H52" s="16">
        <v>1.8199926900000001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40.191906930000002</v>
      </c>
      <c r="F53" s="16">
        <v>2.3447106999999998</v>
      </c>
      <c r="G53" s="14">
        <v>59.808093069999998</v>
      </c>
      <c r="H53" s="16">
        <v>2.3447106999999998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17.694113120000001</v>
      </c>
      <c r="F56" s="16">
        <v>1.6401146</v>
      </c>
      <c r="G56" s="14">
        <v>82.305886880000003</v>
      </c>
      <c r="H56" s="16">
        <v>1.6401146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30.706603040000001</v>
      </c>
      <c r="F61" s="16">
        <v>2.21963804</v>
      </c>
      <c r="G61" s="14">
        <v>69.293396959999995</v>
      </c>
      <c r="H61" s="16">
        <v>2.21963804</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26.12244724</v>
      </c>
      <c r="F62" s="16">
        <v>2.06722735</v>
      </c>
      <c r="G62" s="14">
        <v>73.87755276</v>
      </c>
      <c r="H62" s="16">
        <v>2.06722735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41.635625900000001</v>
      </c>
      <c r="F66" s="16">
        <v>2.0982972000000002</v>
      </c>
      <c r="G66" s="14">
        <v>58.364374099999999</v>
      </c>
      <c r="H66" s="16">
        <v>2.0982972000000002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32.373342989999998</v>
      </c>
      <c r="F67" s="16">
        <v>2.2202953299999999</v>
      </c>
      <c r="G67" s="14">
        <v>67.626657010000002</v>
      </c>
      <c r="H67" s="16">
        <v>2.2202953299999999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34.108106859999999</v>
      </c>
      <c r="F70" s="16">
        <v>2.39495974</v>
      </c>
      <c r="G70" s="14">
        <v>65.891893139999993</v>
      </c>
      <c r="H70" s="16">
        <v>2.39495974</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25.471896959999999</v>
      </c>
      <c r="F72" s="16">
        <v>1.6768092699999999</v>
      </c>
      <c r="G72" s="14">
        <v>74.528103040000005</v>
      </c>
      <c r="H72" s="16">
        <v>1.6768092699999999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43.325302180000001</v>
      </c>
      <c r="F73" s="16">
        <v>2.70409312</v>
      </c>
      <c r="G73" s="14">
        <v>56.674697819999999</v>
      </c>
      <c r="H73" s="16">
        <v>2.70409312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52.381275369999997</v>
      </c>
      <c r="F75" s="16">
        <v>2.8932977100000001</v>
      </c>
      <c r="G75" s="14">
        <v>47.618724630000003</v>
      </c>
      <c r="H75" s="16">
        <v>2.8932977100000001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45.513441069999999</v>
      </c>
      <c r="F76" s="16">
        <v>1.78774788</v>
      </c>
      <c r="G76" s="14">
        <v>54.486558930000001</v>
      </c>
      <c r="H76" s="16">
        <v>1.78774788</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36.617695179999998</v>
      </c>
      <c r="F77" s="16">
        <v>2.26413368</v>
      </c>
      <c r="G77" s="14">
        <v>63.382304820000002</v>
      </c>
      <c r="H77" s="16">
        <v>2.26413368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42.390922289999999</v>
      </c>
      <c r="F81" s="16">
        <v>4.7625948400000002</v>
      </c>
      <c r="G81" s="14">
        <v>57.609077710000001</v>
      </c>
      <c r="H81" s="16">
        <v>4.7625948400000002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26.895723910000001</v>
      </c>
      <c r="F7" s="16">
        <v>1.35905225</v>
      </c>
      <c r="G7" s="14">
        <v>73.104276089999999</v>
      </c>
      <c r="H7" s="16">
        <v>1.35905225</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22.94982151</v>
      </c>
      <c r="F8" s="16">
        <v>1.8242522000000001</v>
      </c>
      <c r="G8" s="14">
        <v>77.050178489999993</v>
      </c>
      <c r="H8" s="16">
        <v>1.8242522000000001</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27.575992079999999</v>
      </c>
      <c r="F9" s="16">
        <v>1.65807182</v>
      </c>
      <c r="G9" s="14">
        <v>72.424007919999994</v>
      </c>
      <c r="H9" s="16">
        <v>1.65807182</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27.490394999999999</v>
      </c>
      <c r="F10" s="16">
        <v>1.7755746800000001</v>
      </c>
      <c r="G10" s="14">
        <v>72.509604999999993</v>
      </c>
      <c r="H10" s="16">
        <v>1.7755746800000001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20.495719350000002</v>
      </c>
      <c r="F11" s="16">
        <v>2.2683365200000001</v>
      </c>
      <c r="G11" s="14">
        <v>79.504280649999998</v>
      </c>
      <c r="H11" s="16">
        <v>2.2683365200000001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14.58934427</v>
      </c>
      <c r="F12" s="16">
        <v>1.6289001400000001</v>
      </c>
      <c r="G12" s="14">
        <v>85.410655730000002</v>
      </c>
      <c r="H12" s="16">
        <v>1.6289001400000001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23.933955950000001</v>
      </c>
      <c r="F13" s="16">
        <v>2.2192019900000002</v>
      </c>
      <c r="G13" s="14">
        <v>76.066044050000002</v>
      </c>
      <c r="H13" s="16">
        <v>2.2192019900000002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15.35404042</v>
      </c>
      <c r="F14" s="16">
        <v>1.6283617800000001</v>
      </c>
      <c r="G14" s="14">
        <v>84.645959579999996</v>
      </c>
      <c r="H14" s="16">
        <v>1.6283617800000001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1.76552193</v>
      </c>
      <c r="F15" s="16">
        <v>0.34225029000000001</v>
      </c>
      <c r="G15" s="14">
        <v>4.9343402300000001</v>
      </c>
      <c r="H15" s="16">
        <v>1.6760805700000001</v>
      </c>
      <c r="I15" s="14" t="s">
        <v>139</v>
      </c>
      <c r="J15" s="16" t="s">
        <v>139</v>
      </c>
      <c r="K15" s="14">
        <v>0</v>
      </c>
      <c r="L15" s="16">
        <v>0</v>
      </c>
      <c r="M15" s="14">
        <v>93.300137840000005</v>
      </c>
      <c r="N15" s="16">
        <v>1.6581171100000001</v>
      </c>
      <c r="O15" s="14">
        <v>0</v>
      </c>
      <c r="P15" s="16">
        <v>0</v>
      </c>
      <c r="Q15" s="14">
        <v>0</v>
      </c>
      <c r="R15" s="16">
        <v>0</v>
      </c>
    </row>
    <row r="16" spans="1:18" x14ac:dyDescent="0.25">
      <c r="A16" s="11" t="s">
        <v>148</v>
      </c>
      <c r="B16" s="13">
        <v>2997</v>
      </c>
      <c r="C16" s="14">
        <f>(2490/B16*100)</f>
        <v>83.083083083083082</v>
      </c>
      <c r="D16" s="15">
        <v>507</v>
      </c>
      <c r="E16" s="14">
        <v>33.064385389999998</v>
      </c>
      <c r="F16" s="16">
        <v>2.2520435600000002</v>
      </c>
      <c r="G16" s="14">
        <v>66.935614610000002</v>
      </c>
      <c r="H16" s="16">
        <v>2.2520435600000002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15.99176318</v>
      </c>
      <c r="F17" s="16">
        <v>1.5570033599999999</v>
      </c>
      <c r="G17" s="14">
        <v>84.008236819999993</v>
      </c>
      <c r="H17" s="16">
        <v>1.5570033599999999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23.021056990000002</v>
      </c>
      <c r="F18" s="16">
        <v>2.0755880100000001</v>
      </c>
      <c r="G18" s="14">
        <v>76.978943009999995</v>
      </c>
      <c r="H18" s="16">
        <v>2.0755880100000001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20.908407069999999</v>
      </c>
      <c r="F19" s="16">
        <v>1.94695365</v>
      </c>
      <c r="G19" s="14">
        <v>79.091592930000004</v>
      </c>
      <c r="H19" s="16">
        <v>1.94695365</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24.86805275</v>
      </c>
      <c r="F20" s="16">
        <v>2.4415269799999999</v>
      </c>
      <c r="G20" s="14">
        <v>75.131947249999996</v>
      </c>
      <c r="H20" s="16">
        <v>2.4415269799999999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27.933654019999999</v>
      </c>
      <c r="F22" s="16">
        <v>1.99853763</v>
      </c>
      <c r="G22" s="14">
        <v>72.066345979999994</v>
      </c>
      <c r="H22" s="16">
        <v>1.99853763</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23.982973680000001</v>
      </c>
      <c r="F23" s="16">
        <v>2.0445446600000001</v>
      </c>
      <c r="G23" s="14">
        <v>76.017026319999999</v>
      </c>
      <c r="H23" s="16">
        <v>2.0445446600000001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32.20303311</v>
      </c>
      <c r="F24" s="16">
        <v>2.07652708</v>
      </c>
      <c r="G24" s="14">
        <v>67.796966889999993</v>
      </c>
      <c r="H24" s="16">
        <v>2.07652708</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34.761116860000001</v>
      </c>
      <c r="F25" s="16">
        <v>2.1319513699999999</v>
      </c>
      <c r="G25" s="14">
        <v>65.238883139999999</v>
      </c>
      <c r="H25" s="16">
        <v>2.1319513699999999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16.960622319999999</v>
      </c>
      <c r="F26" s="16">
        <v>1.9480046200000001</v>
      </c>
      <c r="G26" s="14">
        <v>83.039377680000001</v>
      </c>
      <c r="H26" s="16">
        <v>1.9480046200000001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26.698696600000002</v>
      </c>
      <c r="F27" s="16">
        <v>2.2542619099999999</v>
      </c>
      <c r="G27" s="14">
        <v>73.301303399999995</v>
      </c>
      <c r="H27" s="16">
        <v>2.2542619099999999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24.05656784</v>
      </c>
      <c r="F28" s="16">
        <v>2.0145416599999999</v>
      </c>
      <c r="G28" s="14">
        <v>75.94343216</v>
      </c>
      <c r="H28" s="16">
        <v>2.0145416599999999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25.630584259999999</v>
      </c>
      <c r="F29" s="16">
        <v>2.1762042699999999</v>
      </c>
      <c r="G29" s="14">
        <v>74.369415739999994</v>
      </c>
      <c r="H29" s="16">
        <v>2.1762042699999999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20.327508760000001</v>
      </c>
      <c r="F30" s="16">
        <v>1.91859834</v>
      </c>
      <c r="G30" s="14">
        <v>79.672491239999999</v>
      </c>
      <c r="H30" s="16">
        <v>1.91859834</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32.040463930000001</v>
      </c>
      <c r="F31" s="16">
        <v>2.09172789</v>
      </c>
      <c r="G31" s="14">
        <v>67.959536069999999</v>
      </c>
      <c r="H31" s="16">
        <v>2.09172789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20.72800617</v>
      </c>
      <c r="F33" s="16">
        <v>1.79548588</v>
      </c>
      <c r="G33" s="14">
        <v>79.27199383</v>
      </c>
      <c r="H33" s="16">
        <v>1.79548588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22.337440430000001</v>
      </c>
      <c r="F34" s="16">
        <v>2.2477105499999999</v>
      </c>
      <c r="G34" s="14">
        <v>77.662559569999999</v>
      </c>
      <c r="H34" s="16">
        <v>2.2477105499999999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17.32246219</v>
      </c>
      <c r="F35" s="16">
        <v>1.9031372799999999</v>
      </c>
      <c r="G35" s="14">
        <v>82.677537810000004</v>
      </c>
      <c r="H35" s="16">
        <v>1.9031372799999999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18.681211300000001</v>
      </c>
      <c r="F36" s="16">
        <v>1.6506143900000001</v>
      </c>
      <c r="G36" s="14">
        <v>81.318788699999999</v>
      </c>
      <c r="H36" s="16">
        <v>1.6506143900000001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29.661776400000001</v>
      </c>
      <c r="F37" s="16">
        <v>2.1088294200000002</v>
      </c>
      <c r="G37" s="14">
        <v>70.338223600000006</v>
      </c>
      <c r="H37" s="16">
        <v>2.1088294200000002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30.863360749999998</v>
      </c>
      <c r="F39" s="16">
        <v>2.0712526900000001</v>
      </c>
      <c r="G39" s="14">
        <v>69.136639250000002</v>
      </c>
      <c r="H39" s="16">
        <v>2.0712526900000001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26.00886349</v>
      </c>
      <c r="F40" s="16">
        <v>1.9001870599999999</v>
      </c>
      <c r="G40" s="14">
        <v>73.991136510000004</v>
      </c>
      <c r="H40" s="16">
        <v>1.9001870599999999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22.04798615</v>
      </c>
      <c r="F41" s="16">
        <v>1.6826931700000001</v>
      </c>
      <c r="G41" s="14">
        <v>77.95201385</v>
      </c>
      <c r="H41" s="16">
        <v>1.6826931700000001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23.473453376874996</v>
      </c>
      <c r="F42" s="16">
        <f>IF(COUNT(F7:F41) &gt; 0, SQRT(SUMSQ(F7:F41)/(COUNT(F7:F41)*COUNT(F7:F41)) ), "—")</f>
        <v>0.34330236119779828</v>
      </c>
      <c r="G42" s="14">
        <f>IF(COUNT(G7:G41) &gt; 0, AVERAGE(G7:G41), "—")</f>
        <v>73.610917315625016</v>
      </c>
      <c r="H42" s="16">
        <f>IF(COUNT(H7:H41) &gt; 0, SQRT(SUMSQ(H7:H41)/(COUNT(H7:H41)*COUNT(H7:H41)) ), "—")</f>
        <v>0.34711025002563239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2.9156293075000002</v>
      </c>
      <c r="N42" s="16">
        <f>IF(COUNT(N7:N41) &gt; 0, SQRT(SUMSQ(N7:N41)/(COUNT(N7:N41)*COUNT(N7:N41)) ), "—")</f>
        <v>5.1816159687500002E-2</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32.151632759999998</v>
      </c>
      <c r="F46" s="16">
        <v>1.7457794900000001</v>
      </c>
      <c r="G46" s="14">
        <v>67.848367240000002</v>
      </c>
      <c r="H46" s="16">
        <v>1.7457794900000001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28.40941424</v>
      </c>
      <c r="F47" s="16">
        <v>2.0881523099999999</v>
      </c>
      <c r="G47" s="14">
        <v>71.590585759999996</v>
      </c>
      <c r="H47" s="16">
        <v>2.0881523099999999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18.491176429999999</v>
      </c>
      <c r="F48" s="16">
        <v>1.74360713</v>
      </c>
      <c r="G48" s="14">
        <v>81.508823570000004</v>
      </c>
      <c r="H48" s="16">
        <v>1.74360713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18.288375240000001</v>
      </c>
      <c r="F50" s="16">
        <v>1.87184971</v>
      </c>
      <c r="G50" s="14">
        <v>81.711624760000007</v>
      </c>
      <c r="H50" s="16">
        <v>1.87184971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19.928108099999999</v>
      </c>
      <c r="F51" s="16">
        <v>2.0848465300000001</v>
      </c>
      <c r="G51" s="14">
        <v>80.071891899999997</v>
      </c>
      <c r="H51" s="16">
        <v>2.0848465300000001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19.813968079999999</v>
      </c>
      <c r="F52" s="16">
        <v>2.0145439999999999</v>
      </c>
      <c r="G52" s="14">
        <v>80.186031920000005</v>
      </c>
      <c r="H52" s="16">
        <v>2.0145439999999999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36.651763000000003</v>
      </c>
      <c r="F53" s="16">
        <v>1.9836534299999999</v>
      </c>
      <c r="G53" s="14">
        <v>63.348236999999997</v>
      </c>
      <c r="H53" s="16">
        <v>1.9836534299999999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22.0994089</v>
      </c>
      <c r="F56" s="16">
        <v>1.88112619</v>
      </c>
      <c r="G56" s="14">
        <v>77.9005911</v>
      </c>
      <c r="H56" s="16">
        <v>1.88112619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19.77205069</v>
      </c>
      <c r="F61" s="16">
        <v>1.86557733</v>
      </c>
      <c r="G61" s="14">
        <v>80.22794931</v>
      </c>
      <c r="H61" s="16">
        <v>1.86557733</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24.522221210000001</v>
      </c>
      <c r="F62" s="16">
        <v>2.0829545600000001</v>
      </c>
      <c r="G62" s="14">
        <v>75.477778790000002</v>
      </c>
      <c r="H62" s="16">
        <v>2.0829545600000001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27.812227329999999</v>
      </c>
      <c r="F66" s="16">
        <v>2.0726114899999999</v>
      </c>
      <c r="G66" s="14">
        <v>72.187772670000001</v>
      </c>
      <c r="H66" s="16">
        <v>2.0726114899999999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18.818967099999998</v>
      </c>
      <c r="F67" s="16">
        <v>1.6027411600000001</v>
      </c>
      <c r="G67" s="14">
        <v>81.181032900000005</v>
      </c>
      <c r="H67" s="16">
        <v>1.6027411600000001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19.940571120000001</v>
      </c>
      <c r="F70" s="16">
        <v>1.6090351899999999</v>
      </c>
      <c r="G70" s="14">
        <v>80.059428879999999</v>
      </c>
      <c r="H70" s="16">
        <v>1.6090351899999999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25.17635447</v>
      </c>
      <c r="F72" s="16">
        <v>1.5977195900000001</v>
      </c>
      <c r="G72" s="14">
        <v>74.823645529999993</v>
      </c>
      <c r="H72" s="16">
        <v>1.5977195900000001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30.810210869999999</v>
      </c>
      <c r="F73" s="16">
        <v>2.63411828</v>
      </c>
      <c r="G73" s="14">
        <v>69.189789129999994</v>
      </c>
      <c r="H73" s="16">
        <v>2.63411828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38.449779309999997</v>
      </c>
      <c r="F75" s="16">
        <v>2.6254675500000002</v>
      </c>
      <c r="G75" s="14">
        <v>61.550220690000003</v>
      </c>
      <c r="H75" s="16">
        <v>2.6254675500000002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35.401043459999997</v>
      </c>
      <c r="F76" s="16">
        <v>1.67996075</v>
      </c>
      <c r="G76" s="14">
        <v>64.598956540000003</v>
      </c>
      <c r="H76" s="16">
        <v>1.67996075</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23.228469189999998</v>
      </c>
      <c r="F77" s="16">
        <v>2.1235827999999999</v>
      </c>
      <c r="G77" s="14">
        <v>76.771530810000002</v>
      </c>
      <c r="H77" s="16">
        <v>2.1235827999999999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23.635525829999999</v>
      </c>
      <c r="F81" s="16">
        <v>4.0771639400000002</v>
      </c>
      <c r="G81" s="14">
        <v>76.364474169999994</v>
      </c>
      <c r="H81" s="16">
        <v>4.0771639400000002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(6164/B7*100)</f>
        <v>83.670422152843756</v>
      </c>
      <c r="D7" s="15">
        <v>1203</v>
      </c>
      <c r="E7" s="14">
        <v>32.147299789999998</v>
      </c>
      <c r="F7" s="16">
        <v>1.5534843700000001</v>
      </c>
      <c r="G7" s="14">
        <v>67.852700209999995</v>
      </c>
      <c r="H7" s="16">
        <v>1.5534843700000001</v>
      </c>
      <c r="I7" s="14" t="s">
        <v>139</v>
      </c>
      <c r="J7" s="16" t="s">
        <v>139</v>
      </c>
      <c r="K7" s="14">
        <v>0</v>
      </c>
      <c r="L7" s="16">
        <v>0</v>
      </c>
      <c r="M7" s="14">
        <v>0</v>
      </c>
      <c r="N7" s="16">
        <v>0</v>
      </c>
      <c r="O7" s="14">
        <v>0</v>
      </c>
      <c r="P7" s="16">
        <v>0</v>
      </c>
      <c r="Q7" s="14">
        <v>0</v>
      </c>
      <c r="R7" s="16">
        <v>0</v>
      </c>
    </row>
    <row r="8" spans="1:18" x14ac:dyDescent="0.25">
      <c r="A8" s="11" t="s">
        <v>140</v>
      </c>
      <c r="B8" s="13">
        <v>3564</v>
      </c>
      <c r="C8" s="14">
        <f>(2950/B8*100)</f>
        <v>82.772166105499437</v>
      </c>
      <c r="D8" s="15">
        <v>614</v>
      </c>
      <c r="E8" s="14">
        <v>37.345976729999997</v>
      </c>
      <c r="F8" s="16">
        <v>2.2009953499999999</v>
      </c>
      <c r="G8" s="14">
        <v>62.654023270000003</v>
      </c>
      <c r="H8" s="16">
        <v>2.2009953499999999</v>
      </c>
      <c r="I8" s="14" t="s">
        <v>139</v>
      </c>
      <c r="J8" s="16" t="s">
        <v>139</v>
      </c>
      <c r="K8" s="14">
        <v>0</v>
      </c>
      <c r="L8" s="16">
        <v>0</v>
      </c>
      <c r="M8" s="14">
        <v>0</v>
      </c>
      <c r="N8" s="16">
        <v>0</v>
      </c>
      <c r="O8" s="14">
        <v>0</v>
      </c>
      <c r="P8" s="16">
        <v>0</v>
      </c>
      <c r="Q8" s="14">
        <v>0</v>
      </c>
      <c r="R8" s="16">
        <v>0</v>
      </c>
    </row>
    <row r="9" spans="1:18" x14ac:dyDescent="0.25">
      <c r="A9" s="11" t="s">
        <v>141</v>
      </c>
      <c r="B9" s="13">
        <v>4899</v>
      </c>
      <c r="C9" s="14">
        <f>(4107/B9*100)</f>
        <v>83.833435394978565</v>
      </c>
      <c r="D9" s="15">
        <v>792</v>
      </c>
      <c r="E9" s="14">
        <v>28.78302991</v>
      </c>
      <c r="F9" s="16">
        <v>1.5957208700000001</v>
      </c>
      <c r="G9" s="14">
        <v>71.216970090000004</v>
      </c>
      <c r="H9" s="16">
        <v>1.5957208700000001</v>
      </c>
      <c r="I9" s="14" t="s">
        <v>139</v>
      </c>
      <c r="J9" s="16" t="s">
        <v>139</v>
      </c>
      <c r="K9" s="14">
        <v>0</v>
      </c>
      <c r="L9" s="16">
        <v>0</v>
      </c>
      <c r="M9" s="14">
        <v>0</v>
      </c>
      <c r="N9" s="16">
        <v>0</v>
      </c>
      <c r="O9" s="14">
        <v>0</v>
      </c>
      <c r="P9" s="16">
        <v>0</v>
      </c>
      <c r="Q9" s="14">
        <v>0</v>
      </c>
      <c r="R9" s="16">
        <v>0</v>
      </c>
    </row>
    <row r="10" spans="1:18" x14ac:dyDescent="0.25">
      <c r="A10" s="11" t="s">
        <v>142</v>
      </c>
      <c r="B10" s="13">
        <v>10036</v>
      </c>
      <c r="C10" s="14">
        <f>(8337/B10*100)</f>
        <v>83.070944599442015</v>
      </c>
      <c r="D10" s="15">
        <v>1699</v>
      </c>
      <c r="E10" s="14">
        <v>28.625396420000001</v>
      </c>
      <c r="F10" s="16">
        <v>1.7212513199999999</v>
      </c>
      <c r="G10" s="14">
        <v>71.374603579999999</v>
      </c>
      <c r="H10" s="16">
        <v>1.7212513199999999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(2930/B11*100)</f>
        <v>82.465522094005067</v>
      </c>
      <c r="D11" s="15">
        <v>623</v>
      </c>
      <c r="E11" s="14">
        <v>42.821978950000002</v>
      </c>
      <c r="F11" s="16">
        <v>2.4233721300000002</v>
      </c>
      <c r="G11" s="14">
        <v>57.178021049999998</v>
      </c>
      <c r="H11" s="16">
        <v>2.4233721300000002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(2898/B12*100)</f>
        <v>83.467741935483872</v>
      </c>
      <c r="D12" s="15">
        <v>574</v>
      </c>
      <c r="E12" s="14">
        <v>34.977857729999997</v>
      </c>
      <c r="F12" s="16">
        <v>2.4426720500000001</v>
      </c>
      <c r="G12" s="14">
        <v>65.022142270000003</v>
      </c>
      <c r="H12" s="16">
        <v>2.4426720500000001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42.752323179999998</v>
      </c>
      <c r="F13" s="16">
        <v>2.3159182</v>
      </c>
      <c r="G13" s="14">
        <v>57.247676820000002</v>
      </c>
      <c r="H13" s="16">
        <v>2.3159182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(2325/B14*100)</f>
        <v>83.065380493033231</v>
      </c>
      <c r="D14" s="15">
        <v>474</v>
      </c>
      <c r="E14" s="14">
        <v>22.05243106</v>
      </c>
      <c r="F14" s="16">
        <v>2.1195749199999998</v>
      </c>
      <c r="G14" s="14">
        <v>77.947568939999996</v>
      </c>
      <c r="H14" s="16">
        <v>2.1195749199999998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(2502/B15*100)</f>
        <v>82.875124213315672</v>
      </c>
      <c r="D15" s="15">
        <v>517</v>
      </c>
      <c r="E15" s="14">
        <v>24.191963810000001</v>
      </c>
      <c r="F15" s="16">
        <v>2.0021340599999999</v>
      </c>
      <c r="G15" s="14">
        <v>75.808036189999996</v>
      </c>
      <c r="H15" s="16">
        <v>2.0021340599999999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(2490/B16*100)</f>
        <v>83.083083083083082</v>
      </c>
      <c r="D16" s="15">
        <v>507</v>
      </c>
      <c r="E16" s="14">
        <v>34.564055340000003</v>
      </c>
      <c r="F16" s="16">
        <v>2.2434559799999998</v>
      </c>
      <c r="G16" s="14">
        <v>65.435944660000004</v>
      </c>
      <c r="H16" s="16">
        <v>2.2434559799999998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(2763/B17*100)</f>
        <v>83.55004535833082</v>
      </c>
      <c r="D17" s="15">
        <v>544</v>
      </c>
      <c r="E17" s="14">
        <v>35.531545829999999</v>
      </c>
      <c r="F17" s="16">
        <v>2.3362557399999999</v>
      </c>
      <c r="G17" s="14">
        <v>64.468454170000001</v>
      </c>
      <c r="H17" s="16">
        <v>2.3362557399999999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(2347/B18*100)</f>
        <v>83.05024769992923</v>
      </c>
      <c r="D18" s="15">
        <v>479</v>
      </c>
      <c r="E18" s="14">
        <v>52.97232794</v>
      </c>
      <c r="F18" s="16">
        <v>2.5949020599999999</v>
      </c>
      <c r="G18" s="14">
        <v>47.02767206</v>
      </c>
      <c r="H18" s="16">
        <v>2.5949020599999999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(2342/B19*100)</f>
        <v>83.404558404558401</v>
      </c>
      <c r="D19" s="15">
        <v>466</v>
      </c>
      <c r="E19" s="14">
        <v>40.725120760000003</v>
      </c>
      <c r="F19" s="16">
        <v>2.61861305</v>
      </c>
      <c r="G19" s="14">
        <v>59.274879239999997</v>
      </c>
      <c r="H19" s="16">
        <v>2.61861305</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(1354/B20*100)</f>
        <v>83.067484662576689</v>
      </c>
      <c r="D20" s="15">
        <v>276</v>
      </c>
      <c r="E20" s="14">
        <v>38.587558790000003</v>
      </c>
      <c r="F20" s="16">
        <v>3.1835468800000002</v>
      </c>
      <c r="G20" s="14">
        <v>61.412441209999997</v>
      </c>
      <c r="H20" s="16">
        <v>3.1835468800000002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(2452/B22*100)</f>
        <v>83.657454793585799</v>
      </c>
      <c r="D22" s="15">
        <v>479</v>
      </c>
      <c r="E22" s="14">
        <v>40.073197149999999</v>
      </c>
      <c r="F22" s="16">
        <v>2.7145482200000002</v>
      </c>
      <c r="G22" s="14">
        <v>59.926802850000001</v>
      </c>
      <c r="H22" s="16">
        <v>2.7145482200000002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39.570808530000001</v>
      </c>
      <c r="F23" s="16">
        <v>2.0716259799999999</v>
      </c>
      <c r="G23" s="14">
        <v>60.429191469999999</v>
      </c>
      <c r="H23" s="16">
        <v>2.0716259799999999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(2754/B24*100)</f>
        <v>82.504493708807672</v>
      </c>
      <c r="D24" s="15">
        <v>584</v>
      </c>
      <c r="E24" s="14">
        <v>23.34383841</v>
      </c>
      <c r="F24" s="16">
        <v>1.7195836799999999</v>
      </c>
      <c r="G24" s="14">
        <v>76.656161589999996</v>
      </c>
      <c r="H24" s="16">
        <v>1.7195836799999999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34.097006550000003</v>
      </c>
      <c r="F25" s="16">
        <v>2.08602124</v>
      </c>
      <c r="G25" s="14">
        <v>65.902993449999997</v>
      </c>
      <c r="H25" s="16">
        <v>2.08602124</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(2035/B26*100)</f>
        <v>83.061224489795919</v>
      </c>
      <c r="D26" s="15">
        <v>415</v>
      </c>
      <c r="E26" s="14">
        <v>46.180828060000003</v>
      </c>
      <c r="F26" s="16">
        <v>2.2718522800000001</v>
      </c>
      <c r="G26" s="14">
        <v>53.819171939999997</v>
      </c>
      <c r="H26" s="16">
        <v>2.2718522800000001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(2177/B27*100)</f>
        <v>83.218654434250766</v>
      </c>
      <c r="D27" s="15">
        <v>439</v>
      </c>
      <c r="E27" s="14">
        <v>37.743351590000003</v>
      </c>
      <c r="F27" s="16">
        <v>2.3567850300000002</v>
      </c>
      <c r="G27" s="14">
        <v>62.256648409999997</v>
      </c>
      <c r="H27" s="16">
        <v>2.3567850300000002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(3186/B28*100)</f>
        <v>84.621513944223096</v>
      </c>
      <c r="D28" s="15">
        <v>579</v>
      </c>
      <c r="E28" s="14">
        <v>48.519562569999998</v>
      </c>
      <c r="F28" s="16">
        <v>2.4781859599999998</v>
      </c>
      <c r="G28" s="14">
        <v>51.480437430000002</v>
      </c>
      <c r="H28" s="16">
        <v>2.4781859599999998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29.865230990000001</v>
      </c>
      <c r="F29" s="16">
        <v>1.9958935</v>
      </c>
      <c r="G29" s="14">
        <v>70.134769009999999</v>
      </c>
      <c r="H29" s="16">
        <v>1.9958935</v>
      </c>
      <c r="I29" s="14" t="s">
        <v>139</v>
      </c>
      <c r="J29" s="16" t="s">
        <v>139</v>
      </c>
      <c r="K29" s="14">
        <v>0</v>
      </c>
      <c r="L29" s="16">
        <v>0</v>
      </c>
      <c r="M29" s="14">
        <v>0</v>
      </c>
      <c r="N29" s="16">
        <v>0</v>
      </c>
      <c r="O29" s="14">
        <v>0</v>
      </c>
      <c r="P29" s="16">
        <v>0</v>
      </c>
      <c r="Q29" s="14">
        <v>0</v>
      </c>
      <c r="R29" s="16">
        <v>0</v>
      </c>
    </row>
    <row r="30" spans="1:18" x14ac:dyDescent="0.25">
      <c r="A30" s="11" t="s">
        <v>163</v>
      </c>
      <c r="B30" s="13">
        <v>2263</v>
      </c>
      <c r="C30" s="14">
        <f>(1879/B30*100)</f>
        <v>83.031374281926645</v>
      </c>
      <c r="D30" s="15">
        <v>384</v>
      </c>
      <c r="E30" s="14">
        <v>29.23556417</v>
      </c>
      <c r="F30" s="16">
        <v>2.2973535599999999</v>
      </c>
      <c r="G30" s="14">
        <v>70.764435829999996</v>
      </c>
      <c r="H30" s="16">
        <v>2.2973535599999999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(2273/B31*100)</f>
        <v>82.654545454545456</v>
      </c>
      <c r="D31" s="15">
        <v>477</v>
      </c>
      <c r="E31" s="14">
        <v>46.40684186</v>
      </c>
      <c r="F31" s="16">
        <v>2.4508103700000001</v>
      </c>
      <c r="G31" s="14">
        <v>53.59315814</v>
      </c>
      <c r="H31" s="16">
        <v>2.4508103700000001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(3050/B33*100)</f>
        <v>83.01578660860099</v>
      </c>
      <c r="D33" s="15">
        <v>624</v>
      </c>
      <c r="E33" s="14">
        <v>32.33821502</v>
      </c>
      <c r="F33" s="16">
        <v>2.33883719</v>
      </c>
      <c r="G33" s="14">
        <v>67.661784979999993</v>
      </c>
      <c r="H33" s="16">
        <v>2.33883719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(2758/B34*100)</f>
        <v>83.197586726998495</v>
      </c>
      <c r="D34" s="15">
        <v>557</v>
      </c>
      <c r="E34" s="14">
        <v>44.488447499999999</v>
      </c>
      <c r="F34" s="16">
        <v>2.53933213</v>
      </c>
      <c r="G34" s="14">
        <v>55.511552500000001</v>
      </c>
      <c r="H34" s="16">
        <v>2.53933213</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(2915/B35*100)</f>
        <v>83.166904422253921</v>
      </c>
      <c r="D35" s="15">
        <v>590</v>
      </c>
      <c r="E35" s="14">
        <v>38.820965819999998</v>
      </c>
      <c r="F35" s="16">
        <v>2.2320261000000001</v>
      </c>
      <c r="G35" s="14">
        <v>61.179034180000002</v>
      </c>
      <c r="H35" s="16">
        <v>2.2320261000000001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(2784/B36*100)</f>
        <v>83.553421368547419</v>
      </c>
      <c r="D36" s="15">
        <v>548</v>
      </c>
      <c r="E36" s="14">
        <v>29.33830274</v>
      </c>
      <c r="F36" s="16">
        <v>2.01669111</v>
      </c>
      <c r="G36" s="14">
        <v>70.661697259999997</v>
      </c>
      <c r="H36" s="16">
        <v>2.01669111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(2254/B37*100)</f>
        <v>82.654932159882648</v>
      </c>
      <c r="D37" s="15">
        <v>473</v>
      </c>
      <c r="E37" s="14">
        <v>33.807197189999997</v>
      </c>
      <c r="F37" s="16">
        <v>2.1693089400000001</v>
      </c>
      <c r="G37" s="14">
        <v>66.192802810000003</v>
      </c>
      <c r="H37" s="16">
        <v>2.1693089400000001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68.319646930000005</v>
      </c>
      <c r="F39" s="16">
        <v>2.2007326100000002</v>
      </c>
      <c r="G39" s="14">
        <v>31.680353069999999</v>
      </c>
      <c r="H39" s="16">
        <v>2.2007326100000002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(5969/B40*100)</f>
        <v>82.501727712508639</v>
      </c>
      <c r="D40" s="15">
        <v>1266</v>
      </c>
      <c r="E40" s="14">
        <v>29.609439819999999</v>
      </c>
      <c r="F40" s="16">
        <v>1.8718704900000001</v>
      </c>
      <c r="G40" s="14">
        <v>70.390560179999994</v>
      </c>
      <c r="H40" s="16">
        <v>1.8718704900000001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(2371/B41*100)</f>
        <v>82.960111966410082</v>
      </c>
      <c r="D41" s="15">
        <v>487</v>
      </c>
      <c r="E41" s="14">
        <v>34.898954430000003</v>
      </c>
      <c r="F41" s="16">
        <v>2.5180843799999999</v>
      </c>
      <c r="G41" s="14">
        <v>65.101045569999997</v>
      </c>
      <c r="H41" s="16">
        <v>2.5180843799999999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83.125259001834493</v>
      </c>
      <c r="D42" s="15">
        <f>IF(COUNT(D7:D41) &gt; 0, AVERAGE(D7:D41), "—")</f>
        <v>616.0625</v>
      </c>
      <c r="E42" s="14">
        <f>IF(COUNT(E7:E41) &gt; 0, AVERAGE(E7:E41), "—")</f>
        <v>36.960508299062496</v>
      </c>
      <c r="F42" s="16">
        <f>IF(COUNT(F7:F41) &gt; 0, SQRT(SUMSQ(F7:F41)/(COUNT(F7:F41)*COUNT(F7:F41)) ), "—")</f>
        <v>0.40036916612822199</v>
      </c>
      <c r="G42" s="14">
        <f>IF(COUNT(G7:G41) &gt; 0, AVERAGE(G7:G41), "—")</f>
        <v>63.039491700937489</v>
      </c>
      <c r="H42" s="16">
        <f>IF(COUNT(H7:H41) &gt; 0, SQRT(SUMSQ(H7:H41)/(COUNT(H7:H41)*COUNT(H7:H41)) ), "—")</f>
        <v>0.40036916612822199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(9629/B46*100)</f>
        <v>86.998554391037217</v>
      </c>
      <c r="D46" s="15">
        <v>1439</v>
      </c>
      <c r="E46" s="14">
        <v>54.532498689999997</v>
      </c>
      <c r="F46" s="16">
        <v>1.7501793299999999</v>
      </c>
      <c r="G46" s="14">
        <v>45.467501310000003</v>
      </c>
      <c r="H46" s="16">
        <v>1.7501793299999999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(2602/B47*100)</f>
        <v>83.800322061191622</v>
      </c>
      <c r="D47" s="15">
        <v>503</v>
      </c>
      <c r="E47" s="14">
        <v>52.720425880000001</v>
      </c>
      <c r="F47" s="16">
        <v>2.2693938</v>
      </c>
      <c r="G47" s="14">
        <v>47.279574119999999</v>
      </c>
      <c r="H47" s="16">
        <v>2.2693938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(4256/B48*100)</f>
        <v>82.496607869742206</v>
      </c>
      <c r="D48" s="15">
        <v>903</v>
      </c>
      <c r="E48" s="14">
        <v>34.681812780000001</v>
      </c>
      <c r="F48" s="16">
        <v>2.1864829299999999</v>
      </c>
      <c r="G48" s="14">
        <v>65.318187219999999</v>
      </c>
      <c r="H48" s="16">
        <v>2.1864829299999999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(4727/B50*100)</f>
        <v>83.856661344686884</v>
      </c>
      <c r="D50" s="15">
        <v>910</v>
      </c>
      <c r="E50" s="14">
        <v>44.468393050000003</v>
      </c>
      <c r="F50" s="16">
        <v>2.4383133699999999</v>
      </c>
      <c r="G50" s="14">
        <v>55.531606949999997</v>
      </c>
      <c r="H50" s="16">
        <v>2.4383133699999999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(2886/B51*100)</f>
        <v>85.587188612099638</v>
      </c>
      <c r="D51" s="15">
        <v>486</v>
      </c>
      <c r="E51" s="14">
        <v>41.852398010000002</v>
      </c>
      <c r="F51" s="16">
        <v>2.3021257300000002</v>
      </c>
      <c r="G51" s="14">
        <v>58.147601989999998</v>
      </c>
      <c r="H51" s="16">
        <v>2.3021257300000002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(2342/B52*100)</f>
        <v>83.762517882689565</v>
      </c>
      <c r="D52" s="15">
        <v>454</v>
      </c>
      <c r="E52" s="14">
        <v>53.466012630000002</v>
      </c>
      <c r="F52" s="16">
        <v>2.3256786900000002</v>
      </c>
      <c r="G52" s="14">
        <v>46.533987369999998</v>
      </c>
      <c r="H52" s="16">
        <v>2.3256786900000002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(2316/B53*100)</f>
        <v>82.390608324439697</v>
      </c>
      <c r="D53" s="15">
        <v>495</v>
      </c>
      <c r="E53" s="14">
        <v>56.982683049999999</v>
      </c>
      <c r="F53" s="16">
        <v>2.34001467</v>
      </c>
      <c r="G53" s="14">
        <v>43.017316950000001</v>
      </c>
      <c r="H53" s="16">
        <v>2.34001467</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(2208/B56*100)</f>
        <v>82.265275707898653</v>
      </c>
      <c r="D56" s="15">
        <v>476</v>
      </c>
      <c r="E56" s="14">
        <v>27.397182579999999</v>
      </c>
      <c r="F56" s="16">
        <v>2.0092262399999998</v>
      </c>
      <c r="G56" s="14">
        <v>72.602817419999994</v>
      </c>
      <c r="H56" s="16">
        <v>2.0092262399999998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(2773/B61*100)</f>
        <v>83.423586040914572</v>
      </c>
      <c r="D61" s="15">
        <v>551</v>
      </c>
      <c r="E61" s="14">
        <v>41.388979050000003</v>
      </c>
      <c r="F61" s="16">
        <v>2.3789948700000001</v>
      </c>
      <c r="G61" s="14">
        <v>58.611020949999997</v>
      </c>
      <c r="H61" s="16">
        <v>2.3789948700000001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(1875/B62*100)</f>
        <v>83.48174532502226</v>
      </c>
      <c r="D62" s="15">
        <v>371</v>
      </c>
      <c r="E62" s="14">
        <v>28.604742900000002</v>
      </c>
      <c r="F62" s="16">
        <v>2.52247785</v>
      </c>
      <c r="G62" s="14">
        <v>71.395257099999995</v>
      </c>
      <c r="H62" s="16">
        <v>2.52247785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(2419/B66*100)</f>
        <v>83.586731167933664</v>
      </c>
      <c r="D66" s="15">
        <v>475</v>
      </c>
      <c r="E66" s="14">
        <v>64.437404549999997</v>
      </c>
      <c r="F66" s="16">
        <v>2.1029125799999999</v>
      </c>
      <c r="G66" s="14">
        <v>35.562595450000003</v>
      </c>
      <c r="H66" s="16">
        <v>2.1029125799999999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(2968/B67*100)</f>
        <v>84.534320706351465</v>
      </c>
      <c r="D67" s="15">
        <v>543</v>
      </c>
      <c r="E67" s="14">
        <v>47.929508749999997</v>
      </c>
      <c r="F67" s="16">
        <v>2.4635739800000001</v>
      </c>
      <c r="G67" s="14">
        <v>52.070491250000003</v>
      </c>
      <c r="H67" s="16">
        <v>2.4635739800000001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(2438/B70*100)</f>
        <v>83.236599522021166</v>
      </c>
      <c r="D70" s="15">
        <v>491</v>
      </c>
      <c r="E70" s="14">
        <v>52.524286529999998</v>
      </c>
      <c r="F70" s="16">
        <v>2.57696397</v>
      </c>
      <c r="G70" s="14">
        <v>47.475713470000002</v>
      </c>
      <c r="H70" s="16">
        <v>2.57696397</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(3224/B72*100)</f>
        <v>82.900488557469785</v>
      </c>
      <c r="D72" s="15">
        <v>665</v>
      </c>
      <c r="E72" s="14">
        <v>29.482291270000001</v>
      </c>
      <c r="F72" s="16">
        <v>1.74998199</v>
      </c>
      <c r="G72" s="14">
        <v>70.517708729999995</v>
      </c>
      <c r="H72" s="16">
        <v>1.74998199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(3018/B73*100)</f>
        <v>83.903252710592156</v>
      </c>
      <c r="D73" s="15">
        <v>579</v>
      </c>
      <c r="E73" s="14">
        <v>48.873193720000003</v>
      </c>
      <c r="F73" s="16">
        <v>2.3914377999999998</v>
      </c>
      <c r="G73" s="14">
        <v>51.126806279999997</v>
      </c>
      <c r="H73" s="16">
        <v>2.3914377999999998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(2055/B75*100)</f>
        <v>85.411471321695771</v>
      </c>
      <c r="D75" s="15">
        <v>351</v>
      </c>
      <c r="E75" s="14">
        <v>64.334620270000002</v>
      </c>
      <c r="F75" s="16">
        <v>2.3149390799999998</v>
      </c>
      <c r="G75" s="14">
        <v>35.665379729999998</v>
      </c>
      <c r="H75" s="16">
        <v>2.3149390799999998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(5835/B76*100)</f>
        <v>82.7424844015882</v>
      </c>
      <c r="D76" s="15">
        <v>1217</v>
      </c>
      <c r="E76" s="14">
        <v>51.41009133</v>
      </c>
      <c r="F76" s="16">
        <v>1.9426222200000001</v>
      </c>
      <c r="G76" s="14">
        <v>48.58990867</v>
      </c>
      <c r="H76" s="16">
        <v>1.9426222200000001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(2418/B77*100)</f>
        <v>83.149931224209084</v>
      </c>
      <c r="D77" s="15">
        <v>490</v>
      </c>
      <c r="E77" s="14">
        <v>48.141808650000002</v>
      </c>
      <c r="F77" s="16">
        <v>2.6339526800000002</v>
      </c>
      <c r="G77" s="14">
        <v>51.858191349999998</v>
      </c>
      <c r="H77" s="16">
        <v>2.6339526800000002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(3996/B81*100)</f>
        <v>95.988469853471059</v>
      </c>
      <c r="D81" s="15">
        <v>167</v>
      </c>
      <c r="E81" s="14">
        <v>42.18191805</v>
      </c>
      <c r="F81" s="16">
        <v>5.6649528099999999</v>
      </c>
      <c r="G81" s="14">
        <v>57.81808195</v>
      </c>
      <c r="H81" s="16">
        <v>5.6649528099999999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X96"/>
  <sheetViews>
    <sheetView zoomScale="80" workbookViewId="0">
      <pane xSplit="4" topLeftCell="E1" activePane="topRight" state="frozen"/>
      <selection pane="topRight" sqref="A1:X1"/>
    </sheetView>
  </sheetViews>
  <sheetFormatPr defaultColWidth="11.42578125" defaultRowHeight="15" x14ac:dyDescent="0.25"/>
  <cols>
    <col min="1" max="1" width="50" customWidth="1"/>
  </cols>
  <sheetData>
    <row r="1" spans="1:24" x14ac:dyDescent="0.25">
      <c r="A1" s="25" t="s">
        <v>122</v>
      </c>
      <c r="B1" s="26"/>
      <c r="C1" s="26"/>
      <c r="D1" s="26"/>
      <c r="E1" s="26"/>
      <c r="F1" s="26"/>
      <c r="G1" s="26"/>
      <c r="H1" s="26"/>
      <c r="I1" s="26"/>
      <c r="J1" s="26"/>
      <c r="K1" s="26"/>
      <c r="L1" s="26"/>
      <c r="M1" s="26"/>
      <c r="N1" s="26"/>
      <c r="O1" s="26"/>
      <c r="P1" s="26"/>
      <c r="Q1" s="26"/>
      <c r="R1" s="26"/>
      <c r="S1" s="26"/>
      <c r="T1" s="26"/>
      <c r="U1" s="26"/>
      <c r="V1" s="26"/>
      <c r="W1" s="26"/>
      <c r="X1" s="26"/>
    </row>
    <row r="2" spans="1:24" x14ac:dyDescent="0.25">
      <c r="A2" s="27" t="s">
        <v>277</v>
      </c>
      <c r="B2" s="26"/>
      <c r="C2" s="26"/>
      <c r="D2" s="26"/>
      <c r="E2" s="26"/>
      <c r="F2" s="26"/>
      <c r="G2" s="26"/>
      <c r="H2" s="26"/>
      <c r="I2" s="26"/>
      <c r="J2" s="26"/>
      <c r="K2" s="26"/>
      <c r="L2" s="26"/>
      <c r="M2" s="26"/>
      <c r="N2" s="26"/>
      <c r="O2" s="26"/>
      <c r="P2" s="26"/>
      <c r="Q2" s="26"/>
      <c r="R2" s="26"/>
      <c r="S2" s="26"/>
      <c r="T2" s="26"/>
      <c r="U2" s="26"/>
      <c r="V2" s="26"/>
      <c r="W2" s="26"/>
      <c r="X2" s="26"/>
    </row>
    <row r="4" spans="1:24" ht="30" customHeight="1" x14ac:dyDescent="0.25">
      <c r="A4" s="4"/>
      <c r="B4" s="5" t="s">
        <v>123</v>
      </c>
      <c r="C4" s="5" t="s">
        <v>124</v>
      </c>
      <c r="D4" s="6" t="s">
        <v>123</v>
      </c>
      <c r="E4" s="23" t="s">
        <v>230</v>
      </c>
      <c r="F4" s="24"/>
      <c r="G4" s="23" t="s">
        <v>231</v>
      </c>
      <c r="H4" s="24"/>
      <c r="I4" s="23" t="s">
        <v>232</v>
      </c>
      <c r="J4" s="24"/>
      <c r="K4" s="23" t="s">
        <v>278</v>
      </c>
      <c r="L4" s="24"/>
      <c r="M4" s="23" t="s">
        <v>233</v>
      </c>
      <c r="N4" s="24"/>
      <c r="O4" s="23" t="s">
        <v>127</v>
      </c>
      <c r="P4" s="24"/>
      <c r="Q4" s="23" t="s">
        <v>128</v>
      </c>
      <c r="R4" s="24"/>
      <c r="S4" s="23" t="s">
        <v>129</v>
      </c>
      <c r="T4" s="24"/>
      <c r="U4" s="23" t="s">
        <v>130</v>
      </c>
      <c r="V4" s="24"/>
      <c r="W4" s="23" t="s">
        <v>131</v>
      </c>
      <c r="X4" s="24"/>
    </row>
    <row r="5" spans="1:24"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c r="W5" s="8" t="s">
        <v>135</v>
      </c>
      <c r="X5" s="7" t="s">
        <v>136</v>
      </c>
    </row>
    <row r="6" spans="1:24" x14ac:dyDescent="0.25">
      <c r="A6" s="9" t="s">
        <v>137</v>
      </c>
      <c r="B6" s="10"/>
      <c r="C6" s="10"/>
      <c r="D6" s="11"/>
      <c r="E6" s="10"/>
      <c r="F6" s="11"/>
      <c r="G6" s="10"/>
      <c r="H6" s="11"/>
      <c r="I6" s="10"/>
      <c r="J6" s="11"/>
      <c r="K6" s="10"/>
      <c r="L6" s="11"/>
      <c r="M6" s="10"/>
      <c r="N6" s="11"/>
      <c r="O6" s="10"/>
      <c r="P6" s="11"/>
      <c r="Q6" s="10"/>
      <c r="R6" s="11"/>
      <c r="S6" s="10"/>
      <c r="T6" s="11"/>
      <c r="U6" s="10"/>
      <c r="V6" s="11"/>
      <c r="W6" s="10"/>
      <c r="X6" s="12"/>
    </row>
    <row r="7" spans="1:24" x14ac:dyDescent="0.25">
      <c r="A7" s="11" t="s">
        <v>138</v>
      </c>
      <c r="B7" s="13">
        <v>7367</v>
      </c>
      <c r="C7" s="14">
        <f>(6164/B7*100)</f>
        <v>83.670422152843756</v>
      </c>
      <c r="D7" s="15">
        <v>1203</v>
      </c>
      <c r="E7" s="14">
        <v>6.76451124</v>
      </c>
      <c r="F7" s="16">
        <v>1.0803061599999999</v>
      </c>
      <c r="G7" s="14">
        <v>11.85196657</v>
      </c>
      <c r="H7" s="16">
        <v>1.1080244800000001</v>
      </c>
      <c r="I7" s="14">
        <v>24.56682528</v>
      </c>
      <c r="J7" s="16">
        <v>1.4800733500000001</v>
      </c>
      <c r="K7" s="14">
        <v>15.852879140000001</v>
      </c>
      <c r="L7" s="16">
        <v>1.3681295499999999</v>
      </c>
      <c r="M7" s="14">
        <v>40.963817759999998</v>
      </c>
      <c r="N7" s="16">
        <v>1.84015328</v>
      </c>
      <c r="O7" s="14" t="s">
        <v>139</v>
      </c>
      <c r="P7" s="16" t="s">
        <v>139</v>
      </c>
      <c r="Q7" s="14">
        <v>0</v>
      </c>
      <c r="R7" s="16">
        <v>0</v>
      </c>
      <c r="S7" s="14">
        <v>0</v>
      </c>
      <c r="T7" s="16">
        <v>0</v>
      </c>
      <c r="U7" s="14">
        <v>0</v>
      </c>
      <c r="V7" s="16">
        <v>0</v>
      </c>
      <c r="W7" s="14">
        <v>0</v>
      </c>
      <c r="X7" s="16">
        <v>0</v>
      </c>
    </row>
    <row r="8" spans="1:24" x14ac:dyDescent="0.25">
      <c r="A8" s="11" t="s">
        <v>140</v>
      </c>
      <c r="B8" s="13">
        <v>3564</v>
      </c>
      <c r="C8" s="14">
        <f>(2950/B8*100)</f>
        <v>82.772166105499437</v>
      </c>
      <c r="D8" s="15">
        <v>614</v>
      </c>
      <c r="E8" s="14">
        <v>6.8857452800000001</v>
      </c>
      <c r="F8" s="16">
        <v>0.98269393000000005</v>
      </c>
      <c r="G8" s="14">
        <v>10.72333639</v>
      </c>
      <c r="H8" s="16">
        <v>1.35827886</v>
      </c>
      <c r="I8" s="14">
        <v>16.720956040000001</v>
      </c>
      <c r="J8" s="16">
        <v>1.8122876999999999</v>
      </c>
      <c r="K8" s="14">
        <v>12.14778048</v>
      </c>
      <c r="L8" s="16">
        <v>1.53135569</v>
      </c>
      <c r="M8" s="14">
        <v>53.522181809999999</v>
      </c>
      <c r="N8" s="16">
        <v>1.9762864200000001</v>
      </c>
      <c r="O8" s="14" t="s">
        <v>139</v>
      </c>
      <c r="P8" s="16" t="s">
        <v>139</v>
      </c>
      <c r="Q8" s="14">
        <v>0</v>
      </c>
      <c r="R8" s="16">
        <v>0</v>
      </c>
      <c r="S8" s="14">
        <v>0</v>
      </c>
      <c r="T8" s="16">
        <v>0</v>
      </c>
      <c r="U8" s="14">
        <v>0</v>
      </c>
      <c r="V8" s="16">
        <v>0</v>
      </c>
      <c r="W8" s="14">
        <v>0</v>
      </c>
      <c r="X8" s="16">
        <v>0</v>
      </c>
    </row>
    <row r="9" spans="1:24" x14ac:dyDescent="0.25">
      <c r="A9" s="11" t="s">
        <v>141</v>
      </c>
      <c r="B9" s="13">
        <v>4899</v>
      </c>
      <c r="C9" s="14">
        <f>(4107/B9*100)</f>
        <v>83.833435394978565</v>
      </c>
      <c r="D9" s="15">
        <v>792</v>
      </c>
      <c r="E9" s="14">
        <v>5.9635153699999996</v>
      </c>
      <c r="F9" s="16">
        <v>0.91638792999999996</v>
      </c>
      <c r="G9" s="14">
        <v>10.294206129999999</v>
      </c>
      <c r="H9" s="16">
        <v>1.2067458099999999</v>
      </c>
      <c r="I9" s="14">
        <v>25.459403989999998</v>
      </c>
      <c r="J9" s="16">
        <v>1.52725047</v>
      </c>
      <c r="K9" s="14">
        <v>15.55721378</v>
      </c>
      <c r="L9" s="16">
        <v>1.40567504</v>
      </c>
      <c r="M9" s="14">
        <v>42.725660730000001</v>
      </c>
      <c r="N9" s="16">
        <v>1.9598491</v>
      </c>
      <c r="O9" s="14" t="s">
        <v>139</v>
      </c>
      <c r="P9" s="16" t="s">
        <v>139</v>
      </c>
      <c r="Q9" s="14">
        <v>0</v>
      </c>
      <c r="R9" s="16">
        <v>0</v>
      </c>
      <c r="S9" s="14">
        <v>0</v>
      </c>
      <c r="T9" s="16">
        <v>0</v>
      </c>
      <c r="U9" s="14">
        <v>0</v>
      </c>
      <c r="V9" s="16">
        <v>0</v>
      </c>
      <c r="W9" s="14">
        <v>0</v>
      </c>
      <c r="X9" s="16">
        <v>0</v>
      </c>
    </row>
    <row r="10" spans="1:24" x14ac:dyDescent="0.25">
      <c r="A10" s="11" t="s">
        <v>142</v>
      </c>
      <c r="B10" s="13">
        <v>10036</v>
      </c>
      <c r="C10" s="14">
        <f>(8337/B10*100)</f>
        <v>83.070944599442015</v>
      </c>
      <c r="D10" s="15">
        <v>1699</v>
      </c>
      <c r="E10" s="14">
        <v>5.3545173000000004</v>
      </c>
      <c r="F10" s="16">
        <v>0.64086617000000001</v>
      </c>
      <c r="G10" s="14">
        <v>11.2122943</v>
      </c>
      <c r="H10" s="16">
        <v>1.1084887999999999</v>
      </c>
      <c r="I10" s="14">
        <v>25.54259927</v>
      </c>
      <c r="J10" s="16">
        <v>1.58830753</v>
      </c>
      <c r="K10" s="14">
        <v>16.681520750000001</v>
      </c>
      <c r="L10" s="16">
        <v>1.3422594400000001</v>
      </c>
      <c r="M10" s="14">
        <v>41.209068379999998</v>
      </c>
      <c r="N10" s="16">
        <v>1.91780032</v>
      </c>
      <c r="O10" s="14" t="s">
        <v>139</v>
      </c>
      <c r="P10" s="16" t="s">
        <v>139</v>
      </c>
      <c r="Q10" s="14">
        <v>0</v>
      </c>
      <c r="R10" s="16">
        <v>0</v>
      </c>
      <c r="S10" s="14">
        <v>0</v>
      </c>
      <c r="T10" s="16">
        <v>0</v>
      </c>
      <c r="U10" s="14">
        <v>0</v>
      </c>
      <c r="V10" s="16">
        <v>0</v>
      </c>
      <c r="W10" s="14">
        <v>0</v>
      </c>
      <c r="X10" s="16">
        <v>0</v>
      </c>
    </row>
    <row r="11" spans="1:24" x14ac:dyDescent="0.25">
      <c r="A11" s="11" t="s">
        <v>143</v>
      </c>
      <c r="B11" s="13">
        <v>3553</v>
      </c>
      <c r="C11" s="14">
        <f>(2930/B11*100)</f>
        <v>82.465522094005067</v>
      </c>
      <c r="D11" s="15">
        <v>623</v>
      </c>
      <c r="E11" s="14">
        <v>10.479670240000001</v>
      </c>
      <c r="F11" s="16">
        <v>1.80682483</v>
      </c>
      <c r="G11" s="14">
        <v>15.280118659999999</v>
      </c>
      <c r="H11" s="16">
        <v>1.74001154</v>
      </c>
      <c r="I11" s="14">
        <v>22.886754060000001</v>
      </c>
      <c r="J11" s="16">
        <v>1.89294596</v>
      </c>
      <c r="K11" s="14">
        <v>19.304970310000002</v>
      </c>
      <c r="L11" s="16">
        <v>2.0194922000000002</v>
      </c>
      <c r="M11" s="14">
        <v>32.048486740000001</v>
      </c>
      <c r="N11" s="16">
        <v>2.4167707699999998</v>
      </c>
      <c r="O11" s="14" t="s">
        <v>139</v>
      </c>
      <c r="P11" s="16" t="s">
        <v>139</v>
      </c>
      <c r="Q11" s="14">
        <v>0</v>
      </c>
      <c r="R11" s="16">
        <v>0</v>
      </c>
      <c r="S11" s="14">
        <v>0</v>
      </c>
      <c r="T11" s="16">
        <v>0</v>
      </c>
      <c r="U11" s="14">
        <v>0</v>
      </c>
      <c r="V11" s="16">
        <v>0</v>
      </c>
      <c r="W11" s="14">
        <v>0</v>
      </c>
      <c r="X11" s="16">
        <v>0</v>
      </c>
    </row>
    <row r="12" spans="1:24" x14ac:dyDescent="0.25">
      <c r="A12" s="11" t="s">
        <v>144</v>
      </c>
      <c r="B12" s="13">
        <v>3472</v>
      </c>
      <c r="C12" s="14">
        <f>(2898/B12*100)</f>
        <v>83.467741935483872</v>
      </c>
      <c r="D12" s="15">
        <v>574</v>
      </c>
      <c r="E12" s="14">
        <v>11.05602303</v>
      </c>
      <c r="F12" s="16">
        <v>1.4429518400000001</v>
      </c>
      <c r="G12" s="14">
        <v>5.1979418199999996</v>
      </c>
      <c r="H12" s="16">
        <v>0.89334963000000001</v>
      </c>
      <c r="I12" s="14">
        <v>20.230687060000001</v>
      </c>
      <c r="J12" s="16">
        <v>1.77590878</v>
      </c>
      <c r="K12" s="14">
        <v>19.89077077</v>
      </c>
      <c r="L12" s="16">
        <v>2.1111070299999999</v>
      </c>
      <c r="M12" s="14">
        <v>43.62457732</v>
      </c>
      <c r="N12" s="16">
        <v>1.9617474100000001</v>
      </c>
      <c r="O12" s="14" t="s">
        <v>139</v>
      </c>
      <c r="P12" s="16" t="s">
        <v>139</v>
      </c>
      <c r="Q12" s="14">
        <v>0</v>
      </c>
      <c r="R12" s="16">
        <v>0</v>
      </c>
      <c r="S12" s="14">
        <v>0</v>
      </c>
      <c r="T12" s="16">
        <v>0</v>
      </c>
      <c r="U12" s="14">
        <v>0</v>
      </c>
      <c r="V12" s="16">
        <v>0</v>
      </c>
      <c r="W12" s="14">
        <v>0</v>
      </c>
      <c r="X12" s="16">
        <v>0</v>
      </c>
    </row>
    <row r="13" spans="1:24" x14ac:dyDescent="0.25">
      <c r="A13" s="11" t="s">
        <v>145</v>
      </c>
      <c r="B13" s="13">
        <v>3559</v>
      </c>
      <c r="C13" s="14">
        <f>(3005/B13*100)</f>
        <v>84.433829727451524</v>
      </c>
      <c r="D13" s="15">
        <v>554</v>
      </c>
      <c r="E13" s="14">
        <v>4.6982048599999997</v>
      </c>
      <c r="F13" s="16">
        <v>1.0090196199999999</v>
      </c>
      <c r="G13" s="14">
        <v>8.0212801700000007</v>
      </c>
      <c r="H13" s="16">
        <v>1.2308319999999999</v>
      </c>
      <c r="I13" s="14">
        <v>21.75089904</v>
      </c>
      <c r="J13" s="16">
        <v>1.8538457500000001</v>
      </c>
      <c r="K13" s="14">
        <v>17.579010360000002</v>
      </c>
      <c r="L13" s="16">
        <v>2.01735139</v>
      </c>
      <c r="M13" s="14">
        <v>47.95060557</v>
      </c>
      <c r="N13" s="16">
        <v>2.2304593800000001</v>
      </c>
      <c r="O13" s="14" t="s">
        <v>139</v>
      </c>
      <c r="P13" s="16" t="s">
        <v>139</v>
      </c>
      <c r="Q13" s="14">
        <v>0</v>
      </c>
      <c r="R13" s="16">
        <v>0</v>
      </c>
      <c r="S13" s="14">
        <v>0</v>
      </c>
      <c r="T13" s="16">
        <v>0</v>
      </c>
      <c r="U13" s="14">
        <v>0</v>
      </c>
      <c r="V13" s="16">
        <v>0</v>
      </c>
      <c r="W13" s="14">
        <v>0</v>
      </c>
      <c r="X13" s="16">
        <v>0</v>
      </c>
    </row>
    <row r="14" spans="1:24" x14ac:dyDescent="0.25">
      <c r="A14" s="11" t="s">
        <v>146</v>
      </c>
      <c r="B14" s="13">
        <v>2799</v>
      </c>
      <c r="C14" s="14">
        <f>(2325/B14*100)</f>
        <v>83.065380493033231</v>
      </c>
      <c r="D14" s="15">
        <v>474</v>
      </c>
      <c r="E14" s="14">
        <v>5.1418187800000004</v>
      </c>
      <c r="F14" s="16">
        <v>1.11052705</v>
      </c>
      <c r="G14" s="14">
        <v>6.7729922299999998</v>
      </c>
      <c r="H14" s="16">
        <v>1.10482696</v>
      </c>
      <c r="I14" s="14">
        <v>23.6976564</v>
      </c>
      <c r="J14" s="16">
        <v>2.0251500199999999</v>
      </c>
      <c r="K14" s="14">
        <v>13.90188264</v>
      </c>
      <c r="L14" s="16">
        <v>1.85737504</v>
      </c>
      <c r="M14" s="14">
        <v>50.485649950000003</v>
      </c>
      <c r="N14" s="16">
        <v>2.4865775399999999</v>
      </c>
      <c r="O14" s="14" t="s">
        <v>139</v>
      </c>
      <c r="P14" s="16" t="s">
        <v>139</v>
      </c>
      <c r="Q14" s="14">
        <v>0</v>
      </c>
      <c r="R14" s="16">
        <v>0</v>
      </c>
      <c r="S14" s="14">
        <v>0</v>
      </c>
      <c r="T14" s="16">
        <v>0</v>
      </c>
      <c r="U14" s="14">
        <v>0</v>
      </c>
      <c r="V14" s="16">
        <v>0</v>
      </c>
      <c r="W14" s="14">
        <v>0</v>
      </c>
      <c r="X14" s="16">
        <v>0</v>
      </c>
    </row>
    <row r="15" spans="1:24" x14ac:dyDescent="0.25">
      <c r="A15" s="11" t="s">
        <v>147</v>
      </c>
      <c r="B15" s="13">
        <v>3019</v>
      </c>
      <c r="C15" s="14">
        <f>(2502/B15*100)</f>
        <v>82.875124213315672</v>
      </c>
      <c r="D15" s="15">
        <v>517</v>
      </c>
      <c r="E15" s="14">
        <v>2.8914010800000001</v>
      </c>
      <c r="F15" s="16">
        <v>0.60681945000000004</v>
      </c>
      <c r="G15" s="14">
        <v>10.98074254</v>
      </c>
      <c r="H15" s="16">
        <v>1.51449693</v>
      </c>
      <c r="I15" s="14">
        <v>28.027173770000001</v>
      </c>
      <c r="J15" s="16">
        <v>2.0124643500000001</v>
      </c>
      <c r="K15" s="14">
        <v>15.751703450000001</v>
      </c>
      <c r="L15" s="16">
        <v>1.74021303</v>
      </c>
      <c r="M15" s="14">
        <v>42.34897917</v>
      </c>
      <c r="N15" s="16">
        <v>2.2117338499999999</v>
      </c>
      <c r="O15" s="14" t="s">
        <v>139</v>
      </c>
      <c r="P15" s="16" t="s">
        <v>139</v>
      </c>
      <c r="Q15" s="14">
        <v>0</v>
      </c>
      <c r="R15" s="16">
        <v>0</v>
      </c>
      <c r="S15" s="14">
        <v>0</v>
      </c>
      <c r="T15" s="16">
        <v>0</v>
      </c>
      <c r="U15" s="14">
        <v>0</v>
      </c>
      <c r="V15" s="16">
        <v>0</v>
      </c>
      <c r="W15" s="14">
        <v>0</v>
      </c>
      <c r="X15" s="16">
        <v>0</v>
      </c>
    </row>
    <row r="16" spans="1:24" x14ac:dyDescent="0.25">
      <c r="A16" s="11" t="s">
        <v>148</v>
      </c>
      <c r="B16" s="13">
        <v>2997</v>
      </c>
      <c r="C16" s="14">
        <f>(2490/B16*100)</f>
        <v>83.083083083083082</v>
      </c>
      <c r="D16" s="15">
        <v>507</v>
      </c>
      <c r="E16" s="14">
        <v>13.399195300000001</v>
      </c>
      <c r="F16" s="16">
        <v>1.46501152</v>
      </c>
      <c r="G16" s="14">
        <v>12.51482304</v>
      </c>
      <c r="H16" s="16">
        <v>1.49592858</v>
      </c>
      <c r="I16" s="14">
        <v>25.540721949999998</v>
      </c>
      <c r="J16" s="16">
        <v>2.1302938</v>
      </c>
      <c r="K16" s="14">
        <v>15.5090717</v>
      </c>
      <c r="L16" s="16">
        <v>1.5633361100000001</v>
      </c>
      <c r="M16" s="14">
        <v>33.036188009999996</v>
      </c>
      <c r="N16" s="16">
        <v>2.24670755</v>
      </c>
      <c r="O16" s="14" t="s">
        <v>139</v>
      </c>
      <c r="P16" s="16" t="s">
        <v>139</v>
      </c>
      <c r="Q16" s="14">
        <v>0</v>
      </c>
      <c r="R16" s="16">
        <v>0</v>
      </c>
      <c r="S16" s="14">
        <v>0</v>
      </c>
      <c r="T16" s="16">
        <v>0</v>
      </c>
      <c r="U16" s="14">
        <v>0</v>
      </c>
      <c r="V16" s="16">
        <v>0</v>
      </c>
      <c r="W16" s="14">
        <v>0</v>
      </c>
      <c r="X16" s="16">
        <v>0</v>
      </c>
    </row>
    <row r="17" spans="1:24" x14ac:dyDescent="0.25">
      <c r="A17" s="11" t="s">
        <v>149</v>
      </c>
      <c r="B17" s="13">
        <v>3307</v>
      </c>
      <c r="C17" s="14">
        <f>(2763/B17*100)</f>
        <v>83.55004535833082</v>
      </c>
      <c r="D17" s="15">
        <v>544</v>
      </c>
      <c r="E17" s="14">
        <v>4.9099264199999997</v>
      </c>
      <c r="F17" s="16">
        <v>0.88272930000000005</v>
      </c>
      <c r="G17" s="14">
        <v>11.326251210000001</v>
      </c>
      <c r="H17" s="16">
        <v>1.47239907</v>
      </c>
      <c r="I17" s="14">
        <v>16.670231980000001</v>
      </c>
      <c r="J17" s="16">
        <v>1.7117210199999999</v>
      </c>
      <c r="K17" s="14">
        <v>11.39143792</v>
      </c>
      <c r="L17" s="16">
        <v>1.1722613099999999</v>
      </c>
      <c r="M17" s="14">
        <v>55.702152470000001</v>
      </c>
      <c r="N17" s="16">
        <v>2.1066030200000001</v>
      </c>
      <c r="O17" s="14" t="s">
        <v>139</v>
      </c>
      <c r="P17" s="16" t="s">
        <v>139</v>
      </c>
      <c r="Q17" s="14">
        <v>0</v>
      </c>
      <c r="R17" s="16">
        <v>0</v>
      </c>
      <c r="S17" s="14">
        <v>0</v>
      </c>
      <c r="T17" s="16">
        <v>0</v>
      </c>
      <c r="U17" s="14">
        <v>0</v>
      </c>
      <c r="V17" s="16">
        <v>0</v>
      </c>
      <c r="W17" s="14">
        <v>0</v>
      </c>
      <c r="X17" s="16">
        <v>0</v>
      </c>
    </row>
    <row r="18" spans="1:24" x14ac:dyDescent="0.25">
      <c r="A18" s="11" t="s">
        <v>150</v>
      </c>
      <c r="B18" s="13">
        <v>2826</v>
      </c>
      <c r="C18" s="14">
        <f>(2347/B18*100)</f>
        <v>83.05024769992923</v>
      </c>
      <c r="D18" s="15">
        <v>479</v>
      </c>
      <c r="E18" s="14">
        <v>13.729989059999999</v>
      </c>
      <c r="F18" s="16">
        <v>1.86738797</v>
      </c>
      <c r="G18" s="14">
        <v>16.15387995</v>
      </c>
      <c r="H18" s="16">
        <v>1.9236497699999999</v>
      </c>
      <c r="I18" s="14">
        <v>22.572128920000001</v>
      </c>
      <c r="J18" s="16">
        <v>2.0346063000000001</v>
      </c>
      <c r="K18" s="14">
        <v>20.799490349999999</v>
      </c>
      <c r="L18" s="16">
        <v>1.9471654199999999</v>
      </c>
      <c r="M18" s="14">
        <v>26.744511710000001</v>
      </c>
      <c r="N18" s="16">
        <v>2.2956850100000001</v>
      </c>
      <c r="O18" s="14" t="s">
        <v>139</v>
      </c>
      <c r="P18" s="16" t="s">
        <v>139</v>
      </c>
      <c r="Q18" s="14">
        <v>0</v>
      </c>
      <c r="R18" s="16">
        <v>0</v>
      </c>
      <c r="S18" s="14">
        <v>0</v>
      </c>
      <c r="T18" s="16">
        <v>0</v>
      </c>
      <c r="U18" s="14">
        <v>0</v>
      </c>
      <c r="V18" s="16">
        <v>0</v>
      </c>
      <c r="W18" s="14">
        <v>0</v>
      </c>
      <c r="X18" s="16">
        <v>0</v>
      </c>
    </row>
    <row r="19" spans="1:24" x14ac:dyDescent="0.25">
      <c r="A19" s="11" t="s">
        <v>151</v>
      </c>
      <c r="B19" s="13">
        <v>2808</v>
      </c>
      <c r="C19" s="14">
        <f>(2342/B19*100)</f>
        <v>83.404558404558401</v>
      </c>
      <c r="D19" s="15">
        <v>466</v>
      </c>
      <c r="E19" s="14">
        <v>12.68970399</v>
      </c>
      <c r="F19" s="16">
        <v>1.9378813800000001</v>
      </c>
      <c r="G19" s="14">
        <v>8.4401846200000001</v>
      </c>
      <c r="H19" s="16">
        <v>1.31589486</v>
      </c>
      <c r="I19" s="14">
        <v>30.404382529999999</v>
      </c>
      <c r="J19" s="16">
        <v>2.2738776700000001</v>
      </c>
      <c r="K19" s="14">
        <v>13.171062729999999</v>
      </c>
      <c r="L19" s="16">
        <v>1.70423433</v>
      </c>
      <c r="M19" s="14">
        <v>35.294666130000003</v>
      </c>
      <c r="N19" s="16">
        <v>2.25123316</v>
      </c>
      <c r="O19" s="14" t="s">
        <v>139</v>
      </c>
      <c r="P19" s="16" t="s">
        <v>139</v>
      </c>
      <c r="Q19" s="14">
        <v>0</v>
      </c>
      <c r="R19" s="16">
        <v>0</v>
      </c>
      <c r="S19" s="14">
        <v>0</v>
      </c>
      <c r="T19" s="16">
        <v>0</v>
      </c>
      <c r="U19" s="14">
        <v>0</v>
      </c>
      <c r="V19" s="16">
        <v>0</v>
      </c>
      <c r="W19" s="14">
        <v>0</v>
      </c>
      <c r="X19" s="16">
        <v>0</v>
      </c>
    </row>
    <row r="20" spans="1:24" x14ac:dyDescent="0.25">
      <c r="A20" s="11" t="s">
        <v>152</v>
      </c>
      <c r="B20" s="13">
        <v>1630</v>
      </c>
      <c r="C20" s="14">
        <f>(1354/B20*100)</f>
        <v>83.067484662576689</v>
      </c>
      <c r="D20" s="15">
        <v>276</v>
      </c>
      <c r="E20" s="14">
        <v>6.3186536100000001</v>
      </c>
      <c r="F20" s="16">
        <v>1.3684899100000001</v>
      </c>
      <c r="G20" s="14">
        <v>12.570199779999999</v>
      </c>
      <c r="H20" s="16">
        <v>1.8705913199999999</v>
      </c>
      <c r="I20" s="14">
        <v>25.511150619999999</v>
      </c>
      <c r="J20" s="16">
        <v>2.58594451</v>
      </c>
      <c r="K20" s="14">
        <v>21.81736201</v>
      </c>
      <c r="L20" s="16">
        <v>2.3185397299999999</v>
      </c>
      <c r="M20" s="14">
        <v>33.782633969999999</v>
      </c>
      <c r="N20" s="16">
        <v>3.1156902199999998</v>
      </c>
      <c r="O20" s="14" t="s">
        <v>139</v>
      </c>
      <c r="P20" s="16" t="s">
        <v>139</v>
      </c>
      <c r="Q20" s="14">
        <v>0</v>
      </c>
      <c r="R20" s="16">
        <v>0</v>
      </c>
      <c r="S20" s="14">
        <v>0</v>
      </c>
      <c r="T20" s="16">
        <v>0</v>
      </c>
      <c r="U20" s="14">
        <v>0</v>
      </c>
      <c r="V20" s="16">
        <v>0</v>
      </c>
      <c r="W20" s="14">
        <v>0</v>
      </c>
      <c r="X20" s="16">
        <v>0</v>
      </c>
    </row>
    <row r="21" spans="1:24"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c r="W21" s="17" t="s">
        <v>154</v>
      </c>
      <c r="X21" s="18" t="s">
        <v>154</v>
      </c>
    </row>
    <row r="22" spans="1:24" x14ac:dyDescent="0.25">
      <c r="A22" s="11" t="s">
        <v>155</v>
      </c>
      <c r="B22" s="13">
        <v>2931</v>
      </c>
      <c r="C22" s="14">
        <f>(2452/B22*100)</f>
        <v>83.657454793585799</v>
      </c>
      <c r="D22" s="15">
        <v>479</v>
      </c>
      <c r="E22" s="14">
        <v>15.35061834</v>
      </c>
      <c r="F22" s="16">
        <v>1.87864019</v>
      </c>
      <c r="G22" s="14">
        <v>10.386049079999999</v>
      </c>
      <c r="H22" s="16">
        <v>1.63912561</v>
      </c>
      <c r="I22" s="14">
        <v>19.11835353</v>
      </c>
      <c r="J22" s="16">
        <v>2.2229396800000001</v>
      </c>
      <c r="K22" s="14">
        <v>18.229730750000002</v>
      </c>
      <c r="L22" s="16">
        <v>1.9483504599999999</v>
      </c>
      <c r="M22" s="14">
        <v>36.915248300000002</v>
      </c>
      <c r="N22" s="16">
        <v>2.3900953999999999</v>
      </c>
      <c r="O22" s="14" t="s">
        <v>139</v>
      </c>
      <c r="P22" s="16" t="s">
        <v>139</v>
      </c>
      <c r="Q22" s="14">
        <v>0</v>
      </c>
      <c r="R22" s="16">
        <v>0</v>
      </c>
      <c r="S22" s="14">
        <v>0</v>
      </c>
      <c r="T22" s="16">
        <v>0</v>
      </c>
      <c r="U22" s="14">
        <v>0</v>
      </c>
      <c r="V22" s="16">
        <v>0</v>
      </c>
      <c r="W22" s="14">
        <v>0</v>
      </c>
      <c r="X22" s="16">
        <v>0</v>
      </c>
    </row>
    <row r="23" spans="1:24" x14ac:dyDescent="0.25">
      <c r="A23" s="11" t="s">
        <v>156</v>
      </c>
      <c r="B23" s="13">
        <v>5791</v>
      </c>
      <c r="C23" s="14">
        <f>(4797/B23*100)</f>
        <v>82.835434294595061</v>
      </c>
      <c r="D23" s="15">
        <v>994</v>
      </c>
      <c r="E23" s="14">
        <v>9.9428166000000004</v>
      </c>
      <c r="F23" s="16">
        <v>1.3298785799999999</v>
      </c>
      <c r="G23" s="14">
        <v>7.5683480999999997</v>
      </c>
      <c r="H23" s="16">
        <v>1.25198685</v>
      </c>
      <c r="I23" s="14">
        <v>24.608279320000001</v>
      </c>
      <c r="J23" s="16">
        <v>2.0548182800000001</v>
      </c>
      <c r="K23" s="14">
        <v>17.25528491</v>
      </c>
      <c r="L23" s="16">
        <v>1.7331709</v>
      </c>
      <c r="M23" s="14">
        <v>40.625271060000003</v>
      </c>
      <c r="N23" s="16">
        <v>2.20251822</v>
      </c>
      <c r="O23" s="14" t="s">
        <v>139</v>
      </c>
      <c r="P23" s="16" t="s">
        <v>139</v>
      </c>
      <c r="Q23" s="14">
        <v>0</v>
      </c>
      <c r="R23" s="16">
        <v>0</v>
      </c>
      <c r="S23" s="14">
        <v>0</v>
      </c>
      <c r="T23" s="16">
        <v>0</v>
      </c>
      <c r="U23" s="14">
        <v>0</v>
      </c>
      <c r="V23" s="16">
        <v>0</v>
      </c>
      <c r="W23" s="14">
        <v>0</v>
      </c>
      <c r="X23" s="16">
        <v>0</v>
      </c>
    </row>
    <row r="24" spans="1:24" x14ac:dyDescent="0.25">
      <c r="A24" s="11" t="s">
        <v>157</v>
      </c>
      <c r="B24" s="13">
        <v>3338</v>
      </c>
      <c r="C24" s="14">
        <f>(2754/B24*100)</f>
        <v>82.504493708807672</v>
      </c>
      <c r="D24" s="15">
        <v>584</v>
      </c>
      <c r="E24" s="14">
        <v>6.9947749799999999</v>
      </c>
      <c r="F24" s="16">
        <v>1.2819269499999999</v>
      </c>
      <c r="G24" s="14">
        <v>6.8907802900000004</v>
      </c>
      <c r="H24" s="16">
        <v>1.06169307</v>
      </c>
      <c r="I24" s="14">
        <v>30.821671930000001</v>
      </c>
      <c r="J24" s="16">
        <v>2.0536674499999998</v>
      </c>
      <c r="K24" s="14">
        <v>21.553019200000001</v>
      </c>
      <c r="L24" s="16">
        <v>1.9376913899999999</v>
      </c>
      <c r="M24" s="14">
        <v>33.7397536</v>
      </c>
      <c r="N24" s="16">
        <v>1.8623987</v>
      </c>
      <c r="O24" s="14" t="s">
        <v>139</v>
      </c>
      <c r="P24" s="16" t="s">
        <v>139</v>
      </c>
      <c r="Q24" s="14">
        <v>0</v>
      </c>
      <c r="R24" s="16">
        <v>0</v>
      </c>
      <c r="S24" s="14">
        <v>0</v>
      </c>
      <c r="T24" s="16">
        <v>0</v>
      </c>
      <c r="U24" s="14">
        <v>0</v>
      </c>
      <c r="V24" s="16">
        <v>0</v>
      </c>
      <c r="W24" s="14">
        <v>0</v>
      </c>
      <c r="X24" s="16">
        <v>0</v>
      </c>
    </row>
    <row r="25" spans="1:24" x14ac:dyDescent="0.25">
      <c r="A25" s="11" t="s">
        <v>158</v>
      </c>
      <c r="B25" s="13">
        <v>2912</v>
      </c>
      <c r="C25" s="14">
        <f>(2397/B25*100)</f>
        <v>82.314560439560438</v>
      </c>
      <c r="D25" s="15">
        <v>515</v>
      </c>
      <c r="E25" s="14">
        <v>8.3366938000000008</v>
      </c>
      <c r="F25" s="16">
        <v>1.1799725700000001</v>
      </c>
      <c r="G25" s="14">
        <v>6.4843011800000001</v>
      </c>
      <c r="H25" s="16">
        <v>1.03231541</v>
      </c>
      <c r="I25" s="14">
        <v>22.655121990000001</v>
      </c>
      <c r="J25" s="16">
        <v>2.1515734700000002</v>
      </c>
      <c r="K25" s="14">
        <v>20.418766439999999</v>
      </c>
      <c r="L25" s="16">
        <v>1.7504875</v>
      </c>
      <c r="M25" s="14">
        <v>42.105116590000002</v>
      </c>
      <c r="N25" s="16">
        <v>2.3262067700000002</v>
      </c>
      <c r="O25" s="14" t="s">
        <v>139</v>
      </c>
      <c r="P25" s="16" t="s">
        <v>139</v>
      </c>
      <c r="Q25" s="14">
        <v>0</v>
      </c>
      <c r="R25" s="16">
        <v>0</v>
      </c>
      <c r="S25" s="14">
        <v>0</v>
      </c>
      <c r="T25" s="16">
        <v>0</v>
      </c>
      <c r="U25" s="14">
        <v>0</v>
      </c>
      <c r="V25" s="16">
        <v>0</v>
      </c>
      <c r="W25" s="14">
        <v>0</v>
      </c>
      <c r="X25" s="16">
        <v>0</v>
      </c>
    </row>
    <row r="26" spans="1:24" x14ac:dyDescent="0.25">
      <c r="A26" s="11" t="s">
        <v>159</v>
      </c>
      <c r="B26" s="13">
        <v>2450</v>
      </c>
      <c r="C26" s="14">
        <f>(2035/B26*100)</f>
        <v>83.061224489795919</v>
      </c>
      <c r="D26" s="15">
        <v>415</v>
      </c>
      <c r="E26" s="14">
        <v>9.6167852899999993</v>
      </c>
      <c r="F26" s="16">
        <v>1.57172292</v>
      </c>
      <c r="G26" s="14">
        <v>16.460332879999999</v>
      </c>
      <c r="H26" s="16">
        <v>1.5830274099999999</v>
      </c>
      <c r="I26" s="14">
        <v>27.48219035</v>
      </c>
      <c r="J26" s="16">
        <v>2.08061637</v>
      </c>
      <c r="K26" s="14">
        <v>19.329603880000001</v>
      </c>
      <c r="L26" s="16">
        <v>1.7101732000000001</v>
      </c>
      <c r="M26" s="14">
        <v>27.111087609999998</v>
      </c>
      <c r="N26" s="16">
        <v>2.1332369299999998</v>
      </c>
      <c r="O26" s="14" t="s">
        <v>139</v>
      </c>
      <c r="P26" s="16" t="s">
        <v>139</v>
      </c>
      <c r="Q26" s="14">
        <v>0</v>
      </c>
      <c r="R26" s="16">
        <v>0</v>
      </c>
      <c r="S26" s="14">
        <v>0</v>
      </c>
      <c r="T26" s="16">
        <v>0</v>
      </c>
      <c r="U26" s="14">
        <v>0</v>
      </c>
      <c r="V26" s="16">
        <v>0</v>
      </c>
      <c r="W26" s="14">
        <v>0</v>
      </c>
      <c r="X26" s="16">
        <v>0</v>
      </c>
    </row>
    <row r="27" spans="1:24" x14ac:dyDescent="0.25">
      <c r="A27" s="11" t="s">
        <v>160</v>
      </c>
      <c r="B27" s="13">
        <v>2616</v>
      </c>
      <c r="C27" s="14">
        <f>(2177/B27*100)</f>
        <v>83.218654434250766</v>
      </c>
      <c r="D27" s="15">
        <v>439</v>
      </c>
      <c r="E27" s="14">
        <v>8.2947535099999996</v>
      </c>
      <c r="F27" s="16">
        <v>1.4050643</v>
      </c>
      <c r="G27" s="14">
        <v>10.72740903</v>
      </c>
      <c r="H27" s="16">
        <v>1.7427584599999999</v>
      </c>
      <c r="I27" s="14">
        <v>24.930950249999999</v>
      </c>
      <c r="J27" s="16">
        <v>1.82658141</v>
      </c>
      <c r="K27" s="14">
        <v>13.29813592</v>
      </c>
      <c r="L27" s="16">
        <v>1.67332134</v>
      </c>
      <c r="M27" s="14">
        <v>42.748751290000001</v>
      </c>
      <c r="N27" s="16">
        <v>2.3151594700000002</v>
      </c>
      <c r="O27" s="14" t="s">
        <v>139</v>
      </c>
      <c r="P27" s="16" t="s">
        <v>139</v>
      </c>
      <c r="Q27" s="14">
        <v>0</v>
      </c>
      <c r="R27" s="16">
        <v>0</v>
      </c>
      <c r="S27" s="14">
        <v>0</v>
      </c>
      <c r="T27" s="16">
        <v>0</v>
      </c>
      <c r="U27" s="14">
        <v>0</v>
      </c>
      <c r="V27" s="16">
        <v>0</v>
      </c>
      <c r="W27" s="14">
        <v>0</v>
      </c>
      <c r="X27" s="16">
        <v>0</v>
      </c>
    </row>
    <row r="28" spans="1:24" x14ac:dyDescent="0.25">
      <c r="A28" s="11" t="s">
        <v>161</v>
      </c>
      <c r="B28" s="13">
        <v>3765</v>
      </c>
      <c r="C28" s="14">
        <f>(3186/B28*100)</f>
        <v>84.621513944223096</v>
      </c>
      <c r="D28" s="15">
        <v>579</v>
      </c>
      <c r="E28" s="14">
        <v>23.390803930000001</v>
      </c>
      <c r="F28" s="16">
        <v>2.2608421700000001</v>
      </c>
      <c r="G28" s="14">
        <v>14.53416857</v>
      </c>
      <c r="H28" s="16">
        <v>1.4372981199999999</v>
      </c>
      <c r="I28" s="14">
        <v>24.45084297</v>
      </c>
      <c r="J28" s="16">
        <v>2.0381044400000001</v>
      </c>
      <c r="K28" s="14">
        <v>15.396706610000001</v>
      </c>
      <c r="L28" s="16">
        <v>1.4417007799999999</v>
      </c>
      <c r="M28" s="14">
        <v>22.227477919999998</v>
      </c>
      <c r="N28" s="16">
        <v>2.0223794399999999</v>
      </c>
      <c r="O28" s="14" t="s">
        <v>139</v>
      </c>
      <c r="P28" s="16" t="s">
        <v>139</v>
      </c>
      <c r="Q28" s="14">
        <v>0</v>
      </c>
      <c r="R28" s="16">
        <v>0</v>
      </c>
      <c r="S28" s="14">
        <v>0</v>
      </c>
      <c r="T28" s="16">
        <v>0</v>
      </c>
      <c r="U28" s="14">
        <v>0</v>
      </c>
      <c r="V28" s="16">
        <v>0</v>
      </c>
      <c r="W28" s="14">
        <v>0</v>
      </c>
      <c r="X28" s="16">
        <v>0</v>
      </c>
    </row>
    <row r="29" spans="1:24" x14ac:dyDescent="0.25">
      <c r="A29" s="11" t="s">
        <v>162</v>
      </c>
      <c r="B29" s="13">
        <v>2685</v>
      </c>
      <c r="C29" s="14">
        <f>(2225/B29*100)</f>
        <v>82.86778398510242</v>
      </c>
      <c r="D29" s="15">
        <v>460</v>
      </c>
      <c r="E29" s="14">
        <v>5.1014201300000002</v>
      </c>
      <c r="F29" s="16">
        <v>1.06533605</v>
      </c>
      <c r="G29" s="14">
        <v>8.0355201199999993</v>
      </c>
      <c r="H29" s="16">
        <v>1.16643249</v>
      </c>
      <c r="I29" s="14">
        <v>14.3360646</v>
      </c>
      <c r="J29" s="16">
        <v>1.6170995699999999</v>
      </c>
      <c r="K29" s="14">
        <v>15.35710136</v>
      </c>
      <c r="L29" s="16">
        <v>1.7231676600000001</v>
      </c>
      <c r="M29" s="14">
        <v>57.169893790000003</v>
      </c>
      <c r="N29" s="16">
        <v>2.04433942</v>
      </c>
      <c r="O29" s="14" t="s">
        <v>139</v>
      </c>
      <c r="P29" s="16" t="s">
        <v>139</v>
      </c>
      <c r="Q29" s="14">
        <v>0</v>
      </c>
      <c r="R29" s="16">
        <v>0</v>
      </c>
      <c r="S29" s="14">
        <v>0</v>
      </c>
      <c r="T29" s="16">
        <v>0</v>
      </c>
      <c r="U29" s="14">
        <v>0</v>
      </c>
      <c r="V29" s="16">
        <v>0</v>
      </c>
      <c r="W29" s="14">
        <v>0</v>
      </c>
      <c r="X29" s="16">
        <v>0</v>
      </c>
    </row>
    <row r="30" spans="1:24" x14ac:dyDescent="0.25">
      <c r="A30" s="11" t="s">
        <v>163</v>
      </c>
      <c r="B30" s="13">
        <v>2263</v>
      </c>
      <c r="C30" s="14">
        <f>(1879/B30*100)</f>
        <v>83.031374281926645</v>
      </c>
      <c r="D30" s="15">
        <v>384</v>
      </c>
      <c r="E30" s="14">
        <v>6.6273784999999998</v>
      </c>
      <c r="F30" s="16">
        <v>1.1474800300000001</v>
      </c>
      <c r="G30" s="14">
        <v>11.335584900000001</v>
      </c>
      <c r="H30" s="16">
        <v>1.68187669</v>
      </c>
      <c r="I30" s="14">
        <v>23.829011659999999</v>
      </c>
      <c r="J30" s="16">
        <v>2.04615671</v>
      </c>
      <c r="K30" s="14">
        <v>17.673845740000001</v>
      </c>
      <c r="L30" s="16">
        <v>1.7777690500000001</v>
      </c>
      <c r="M30" s="14">
        <v>40.534179199999997</v>
      </c>
      <c r="N30" s="16">
        <v>2.5502191700000001</v>
      </c>
      <c r="O30" s="14" t="s">
        <v>139</v>
      </c>
      <c r="P30" s="16" t="s">
        <v>139</v>
      </c>
      <c r="Q30" s="14">
        <v>0</v>
      </c>
      <c r="R30" s="16">
        <v>0</v>
      </c>
      <c r="S30" s="14">
        <v>0</v>
      </c>
      <c r="T30" s="16">
        <v>0</v>
      </c>
      <c r="U30" s="14">
        <v>0</v>
      </c>
      <c r="V30" s="16">
        <v>0</v>
      </c>
      <c r="W30" s="14">
        <v>0</v>
      </c>
      <c r="X30" s="16">
        <v>0</v>
      </c>
    </row>
    <row r="31" spans="1:24" x14ac:dyDescent="0.25">
      <c r="A31" s="11" t="s">
        <v>164</v>
      </c>
      <c r="B31" s="13">
        <v>2750</v>
      </c>
      <c r="C31" s="14">
        <f>(2273/B31*100)</f>
        <v>82.654545454545456</v>
      </c>
      <c r="D31" s="15">
        <v>477</v>
      </c>
      <c r="E31" s="14">
        <v>6.1037162199999999</v>
      </c>
      <c r="F31" s="16">
        <v>0.95566052999999995</v>
      </c>
      <c r="G31" s="14">
        <v>9.4134964300000004</v>
      </c>
      <c r="H31" s="16">
        <v>1.3475554300000001</v>
      </c>
      <c r="I31" s="14">
        <v>20.54114779</v>
      </c>
      <c r="J31" s="16">
        <v>1.82597367</v>
      </c>
      <c r="K31" s="14">
        <v>14.24125637</v>
      </c>
      <c r="L31" s="16">
        <v>1.5163446199999999</v>
      </c>
      <c r="M31" s="14">
        <v>49.700383180000003</v>
      </c>
      <c r="N31" s="16">
        <v>2.31439795</v>
      </c>
      <c r="O31" s="14" t="s">
        <v>139</v>
      </c>
      <c r="P31" s="16" t="s">
        <v>139</v>
      </c>
      <c r="Q31" s="14">
        <v>0</v>
      </c>
      <c r="R31" s="16">
        <v>0</v>
      </c>
      <c r="S31" s="14">
        <v>0</v>
      </c>
      <c r="T31" s="16">
        <v>0</v>
      </c>
      <c r="U31" s="14">
        <v>0</v>
      </c>
      <c r="V31" s="16">
        <v>0</v>
      </c>
      <c r="W31" s="14">
        <v>0</v>
      </c>
      <c r="X31" s="16">
        <v>0</v>
      </c>
    </row>
    <row r="32" spans="1:24"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c r="W32" s="17" t="s">
        <v>154</v>
      </c>
      <c r="X32" s="18" t="s">
        <v>154</v>
      </c>
    </row>
    <row r="33" spans="1:24" x14ac:dyDescent="0.25">
      <c r="A33" s="11" t="s">
        <v>166</v>
      </c>
      <c r="B33" s="13">
        <v>3674</v>
      </c>
      <c r="C33" s="14">
        <f>(3050/B33*100)</f>
        <v>83.01578660860099</v>
      </c>
      <c r="D33" s="15">
        <v>624</v>
      </c>
      <c r="E33" s="14">
        <v>5.8072762500000001</v>
      </c>
      <c r="F33" s="16">
        <v>1.04694372</v>
      </c>
      <c r="G33" s="14">
        <v>10.503058680000001</v>
      </c>
      <c r="H33" s="16">
        <v>1.4405284199999999</v>
      </c>
      <c r="I33" s="14">
        <v>26.898145150000001</v>
      </c>
      <c r="J33" s="16">
        <v>2.24561762</v>
      </c>
      <c r="K33" s="14">
        <v>21.168908550000001</v>
      </c>
      <c r="L33" s="16">
        <v>2.0456186399999998</v>
      </c>
      <c r="M33" s="14">
        <v>35.622611380000002</v>
      </c>
      <c r="N33" s="16">
        <v>2.6420458899999999</v>
      </c>
      <c r="O33" s="14" t="s">
        <v>139</v>
      </c>
      <c r="P33" s="16" t="s">
        <v>139</v>
      </c>
      <c r="Q33" s="14">
        <v>0</v>
      </c>
      <c r="R33" s="16">
        <v>0</v>
      </c>
      <c r="S33" s="14">
        <v>0</v>
      </c>
      <c r="T33" s="16">
        <v>0</v>
      </c>
      <c r="U33" s="14">
        <v>0</v>
      </c>
      <c r="V33" s="16">
        <v>0</v>
      </c>
      <c r="W33" s="14">
        <v>0</v>
      </c>
      <c r="X33" s="16">
        <v>0</v>
      </c>
    </row>
    <row r="34" spans="1:24" x14ac:dyDescent="0.25">
      <c r="A34" s="11" t="s">
        <v>167</v>
      </c>
      <c r="B34" s="13">
        <v>3315</v>
      </c>
      <c r="C34" s="14">
        <f>(2758/B34*100)</f>
        <v>83.197586726998495</v>
      </c>
      <c r="D34" s="15">
        <v>557</v>
      </c>
      <c r="E34" s="14">
        <v>12.96331992</v>
      </c>
      <c r="F34" s="16">
        <v>1.61161048</v>
      </c>
      <c r="G34" s="14">
        <v>11.91209913</v>
      </c>
      <c r="H34" s="16">
        <v>1.72162306</v>
      </c>
      <c r="I34" s="14">
        <v>27.14295379</v>
      </c>
      <c r="J34" s="16">
        <v>1.94300695</v>
      </c>
      <c r="K34" s="14">
        <v>21.126912829999998</v>
      </c>
      <c r="L34" s="16">
        <v>1.7419464099999999</v>
      </c>
      <c r="M34" s="14">
        <v>26.85471433</v>
      </c>
      <c r="N34" s="16">
        <v>2.0117575799999998</v>
      </c>
      <c r="O34" s="14" t="s">
        <v>139</v>
      </c>
      <c r="P34" s="16" t="s">
        <v>139</v>
      </c>
      <c r="Q34" s="14">
        <v>0</v>
      </c>
      <c r="R34" s="16">
        <v>0</v>
      </c>
      <c r="S34" s="14">
        <v>0</v>
      </c>
      <c r="T34" s="16">
        <v>0</v>
      </c>
      <c r="U34" s="14">
        <v>0</v>
      </c>
      <c r="V34" s="16">
        <v>0</v>
      </c>
      <c r="W34" s="14">
        <v>0</v>
      </c>
      <c r="X34" s="16">
        <v>0</v>
      </c>
    </row>
    <row r="35" spans="1:24" x14ac:dyDescent="0.25">
      <c r="A35" s="11" t="s">
        <v>168</v>
      </c>
      <c r="B35" s="13">
        <v>3505</v>
      </c>
      <c r="C35" s="14">
        <f>(2915/B35*100)</f>
        <v>83.166904422253921</v>
      </c>
      <c r="D35" s="15">
        <v>590</v>
      </c>
      <c r="E35" s="14">
        <v>7.9699306500000002</v>
      </c>
      <c r="F35" s="16">
        <v>1.25306827</v>
      </c>
      <c r="G35" s="14">
        <v>9.5061365599999998</v>
      </c>
      <c r="H35" s="16">
        <v>1.3241510700000001</v>
      </c>
      <c r="I35" s="14">
        <v>18.814913619999999</v>
      </c>
      <c r="J35" s="16">
        <v>1.8489259199999999</v>
      </c>
      <c r="K35" s="14">
        <v>17.685172980000001</v>
      </c>
      <c r="L35" s="16">
        <v>2.1169466799999999</v>
      </c>
      <c r="M35" s="14">
        <v>46.02384619</v>
      </c>
      <c r="N35" s="16">
        <v>2.4539375300000001</v>
      </c>
      <c r="O35" s="14" t="s">
        <v>139</v>
      </c>
      <c r="P35" s="16" t="s">
        <v>139</v>
      </c>
      <c r="Q35" s="14">
        <v>0</v>
      </c>
      <c r="R35" s="16">
        <v>0</v>
      </c>
      <c r="S35" s="14">
        <v>0</v>
      </c>
      <c r="T35" s="16">
        <v>0</v>
      </c>
      <c r="U35" s="14">
        <v>0</v>
      </c>
      <c r="V35" s="16">
        <v>0</v>
      </c>
      <c r="W35" s="14">
        <v>0</v>
      </c>
      <c r="X35" s="16">
        <v>0</v>
      </c>
    </row>
    <row r="36" spans="1:24" x14ac:dyDescent="0.25">
      <c r="A36" s="11" t="s">
        <v>169</v>
      </c>
      <c r="B36" s="13">
        <v>3332</v>
      </c>
      <c r="C36" s="14">
        <f>(2784/B36*100)</f>
        <v>83.553421368547419</v>
      </c>
      <c r="D36" s="15">
        <v>548</v>
      </c>
      <c r="E36" s="14">
        <v>8.1287945799999992</v>
      </c>
      <c r="F36" s="16">
        <v>1.1935884299999999</v>
      </c>
      <c r="G36" s="14">
        <v>8.7044243199999993</v>
      </c>
      <c r="H36" s="16">
        <v>1.29140085</v>
      </c>
      <c r="I36" s="14">
        <v>19.320915800000002</v>
      </c>
      <c r="J36" s="16">
        <v>1.6713172000000001</v>
      </c>
      <c r="K36" s="14">
        <v>18.292651330000002</v>
      </c>
      <c r="L36" s="16">
        <v>1.68162415</v>
      </c>
      <c r="M36" s="14">
        <v>45.553213960000001</v>
      </c>
      <c r="N36" s="16">
        <v>2.1593089399999998</v>
      </c>
      <c r="O36" s="14" t="s">
        <v>139</v>
      </c>
      <c r="P36" s="16" t="s">
        <v>139</v>
      </c>
      <c r="Q36" s="14">
        <v>0</v>
      </c>
      <c r="R36" s="16">
        <v>0</v>
      </c>
      <c r="S36" s="14">
        <v>0</v>
      </c>
      <c r="T36" s="16">
        <v>0</v>
      </c>
      <c r="U36" s="14">
        <v>0</v>
      </c>
      <c r="V36" s="16">
        <v>0</v>
      </c>
      <c r="W36" s="14">
        <v>0</v>
      </c>
      <c r="X36" s="16">
        <v>0</v>
      </c>
    </row>
    <row r="37" spans="1:24" x14ac:dyDescent="0.25">
      <c r="A37" s="11" t="s">
        <v>170</v>
      </c>
      <c r="B37" s="13">
        <v>2727</v>
      </c>
      <c r="C37" s="14">
        <f>(2254/B37*100)</f>
        <v>82.654932159882648</v>
      </c>
      <c r="D37" s="15">
        <v>473</v>
      </c>
      <c r="E37" s="14">
        <v>8.0634206699999993</v>
      </c>
      <c r="F37" s="16">
        <v>1.7154473400000001</v>
      </c>
      <c r="G37" s="14">
        <v>11.061017059999999</v>
      </c>
      <c r="H37" s="16">
        <v>1.5612970399999999</v>
      </c>
      <c r="I37" s="14">
        <v>17.065419769999998</v>
      </c>
      <c r="J37" s="16">
        <v>1.55684803</v>
      </c>
      <c r="K37" s="14">
        <v>14.52189124</v>
      </c>
      <c r="L37" s="16">
        <v>1.61948158</v>
      </c>
      <c r="M37" s="14">
        <v>49.288251260000003</v>
      </c>
      <c r="N37" s="16">
        <v>2.7278475700000002</v>
      </c>
      <c r="O37" s="14" t="s">
        <v>139</v>
      </c>
      <c r="P37" s="16" t="s">
        <v>139</v>
      </c>
      <c r="Q37" s="14">
        <v>0</v>
      </c>
      <c r="R37" s="16">
        <v>0</v>
      </c>
      <c r="S37" s="14">
        <v>0</v>
      </c>
      <c r="T37" s="16">
        <v>0</v>
      </c>
      <c r="U37" s="14">
        <v>0</v>
      </c>
      <c r="V37" s="16">
        <v>0</v>
      </c>
      <c r="W37" s="14">
        <v>0</v>
      </c>
      <c r="X37" s="16">
        <v>0</v>
      </c>
    </row>
    <row r="38" spans="1:24"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c r="W38" s="17" t="s">
        <v>154</v>
      </c>
      <c r="X38" s="18" t="s">
        <v>154</v>
      </c>
    </row>
    <row r="39" spans="1:24" x14ac:dyDescent="0.25">
      <c r="A39" s="11" t="s">
        <v>172</v>
      </c>
      <c r="B39" s="13">
        <v>2957</v>
      </c>
      <c r="C39" s="14">
        <f>(2436/B39*100)</f>
        <v>82.380791342576927</v>
      </c>
      <c r="D39" s="15">
        <v>521</v>
      </c>
      <c r="E39" s="14">
        <v>22.131370480000001</v>
      </c>
      <c r="F39" s="16">
        <v>1.8477264600000001</v>
      </c>
      <c r="G39" s="14">
        <v>14.381857760000001</v>
      </c>
      <c r="H39" s="16">
        <v>1.6844754</v>
      </c>
      <c r="I39" s="14">
        <v>24.63509784</v>
      </c>
      <c r="J39" s="16">
        <v>1.69743925</v>
      </c>
      <c r="K39" s="14">
        <v>16.992439919999999</v>
      </c>
      <c r="L39" s="16">
        <v>1.6388593300000001</v>
      </c>
      <c r="M39" s="14">
        <v>21.85923399</v>
      </c>
      <c r="N39" s="16">
        <v>1.87011113</v>
      </c>
      <c r="O39" s="14" t="s">
        <v>139</v>
      </c>
      <c r="P39" s="16" t="s">
        <v>139</v>
      </c>
      <c r="Q39" s="14">
        <v>0</v>
      </c>
      <c r="R39" s="16">
        <v>0</v>
      </c>
      <c r="S39" s="14">
        <v>0</v>
      </c>
      <c r="T39" s="16">
        <v>0</v>
      </c>
      <c r="U39" s="14">
        <v>0</v>
      </c>
      <c r="V39" s="16">
        <v>0</v>
      </c>
      <c r="W39" s="14">
        <v>0</v>
      </c>
      <c r="X39" s="16">
        <v>0</v>
      </c>
    </row>
    <row r="40" spans="1:24" x14ac:dyDescent="0.25">
      <c r="A40" s="11" t="s">
        <v>173</v>
      </c>
      <c r="B40" s="13">
        <v>7235</v>
      </c>
      <c r="C40" s="14">
        <f>(5969/B40*100)</f>
        <v>82.501727712508639</v>
      </c>
      <c r="D40" s="15">
        <v>1266</v>
      </c>
      <c r="E40" s="14">
        <v>4.3803511100000003</v>
      </c>
      <c r="F40" s="16">
        <v>0.82253290000000001</v>
      </c>
      <c r="G40" s="14">
        <v>11.574976510000001</v>
      </c>
      <c r="H40" s="16">
        <v>1.4154302299999999</v>
      </c>
      <c r="I40" s="14">
        <v>26.294264550000001</v>
      </c>
      <c r="J40" s="16">
        <v>1.99215739</v>
      </c>
      <c r="K40" s="14">
        <v>15.03956374</v>
      </c>
      <c r="L40" s="16">
        <v>1.4591668799999999</v>
      </c>
      <c r="M40" s="14">
        <v>42.710844090000002</v>
      </c>
      <c r="N40" s="16">
        <v>2.3545950100000002</v>
      </c>
      <c r="O40" s="14" t="s">
        <v>139</v>
      </c>
      <c r="P40" s="16" t="s">
        <v>139</v>
      </c>
      <c r="Q40" s="14">
        <v>0</v>
      </c>
      <c r="R40" s="16">
        <v>0</v>
      </c>
      <c r="S40" s="14">
        <v>0</v>
      </c>
      <c r="T40" s="16">
        <v>0</v>
      </c>
      <c r="U40" s="14">
        <v>0</v>
      </c>
      <c r="V40" s="16">
        <v>0</v>
      </c>
      <c r="W40" s="14">
        <v>0</v>
      </c>
      <c r="X40" s="16">
        <v>0</v>
      </c>
    </row>
    <row r="41" spans="1:24" x14ac:dyDescent="0.25">
      <c r="A41" s="11" t="s">
        <v>174</v>
      </c>
      <c r="B41" s="13">
        <v>2858</v>
      </c>
      <c r="C41" s="14">
        <f>(2371/B41*100)</f>
        <v>82.960111966410082</v>
      </c>
      <c r="D41" s="15">
        <v>487</v>
      </c>
      <c r="E41" s="14">
        <v>9.2844033499999998</v>
      </c>
      <c r="F41" s="16">
        <v>1.5159274</v>
      </c>
      <c r="G41" s="14">
        <v>13.20699084</v>
      </c>
      <c r="H41" s="16">
        <v>1.66669683</v>
      </c>
      <c r="I41" s="14">
        <v>28.622367529999998</v>
      </c>
      <c r="J41" s="16">
        <v>2.37481198</v>
      </c>
      <c r="K41" s="14">
        <v>13.696987910000001</v>
      </c>
      <c r="L41" s="16">
        <v>1.5770012499999999</v>
      </c>
      <c r="M41" s="14">
        <v>35.189250379999997</v>
      </c>
      <c r="N41" s="16">
        <v>2.32805887</v>
      </c>
      <c r="O41" s="14" t="s">
        <v>139</v>
      </c>
      <c r="P41" s="16" t="s">
        <v>139</v>
      </c>
      <c r="Q41" s="14">
        <v>0</v>
      </c>
      <c r="R41" s="16">
        <v>0</v>
      </c>
      <c r="S41" s="14">
        <v>0</v>
      </c>
      <c r="T41" s="16">
        <v>0</v>
      </c>
      <c r="U41" s="14">
        <v>0</v>
      </c>
      <c r="V41" s="16">
        <v>0</v>
      </c>
      <c r="W41" s="14">
        <v>0</v>
      </c>
      <c r="X41" s="16">
        <v>0</v>
      </c>
    </row>
    <row r="42" spans="1:24" x14ac:dyDescent="0.25">
      <c r="A42" s="11" t="s">
        <v>175</v>
      </c>
      <c r="B42" s="13">
        <f>IF(COUNT(B7:B41) &gt; 0, AVERAGE(B7:B41), "\u2014")</f>
        <v>3654.375</v>
      </c>
      <c r="C42" s="14">
        <f>IF(COUNT(C7:C41) &gt; 0, AVERAGE(C7:C41), "—")</f>
        <v>83.125259001834493</v>
      </c>
      <c r="D42" s="15">
        <f>IF(COUNT(D7:D41) &gt; 0, AVERAGE(D7:D41), "—")</f>
        <v>616.0625</v>
      </c>
      <c r="E42" s="14">
        <f>IF(COUNT(E7:E41) &gt; 0, AVERAGE(E7:E41), "—")</f>
        <v>9.0241094959374983</v>
      </c>
      <c r="F42" s="16">
        <f>IF(COUNT(F7:F41) &gt; 0, SQRT(SUMSQ(F7:F41)/(COUNT(F7:F41)*COUNT(F7:F41)) ), "—")</f>
        <v>0.24339796769353972</v>
      </c>
      <c r="G42" s="14">
        <f>IF(COUNT(G7:G41) &gt; 0, AVERAGE(G7:G41), "—")</f>
        <v>10.750836526562498</v>
      </c>
      <c r="H42" s="16">
        <f>IF(COUNT(H7:H41) &gt; 0, SQRT(SUMSQ(H7:H41)/(COUNT(H7:H41)*COUNT(H7:H41)) ), "—")</f>
        <v>0.25488852271097789</v>
      </c>
      <c r="I42" s="14">
        <f>IF(COUNT(I7:I41) &gt; 0, AVERAGE(I7:I41), "—")</f>
        <v>23.473415104687493</v>
      </c>
      <c r="J42" s="16">
        <f>IF(COUNT(J7:J41) &gt; 0, SQRT(SUMSQ(J7:J41)/(COUNT(J7:J41)*COUNT(J7:J41)) ), "—")</f>
        <v>0.34520973776074754</v>
      </c>
      <c r="K42" s="14">
        <f>IF(COUNT(K7:K41) &gt; 0, AVERAGE(K7:K41), "—")</f>
        <v>16.894816752187499</v>
      </c>
      <c r="L42" s="16">
        <f>IF(COUNT(L7:L41) &gt; 0, SQRT(SUMSQ(L7:L41)/(COUNT(L7:L41)*COUNT(L7:L41)) ), "—")</f>
        <v>0.30820667159253473</v>
      </c>
      <c r="M42" s="14">
        <f>IF(COUNT(M7:M41) &gt; 0, AVERAGE(M7:M41), "—")</f>
        <v>39.85682211999999</v>
      </c>
      <c r="N42" s="16">
        <f>IF(COUNT(N7:N41) &gt; 0, SQRT(SUMSQ(N7:N41)/(COUNT(N7:N41)*COUNT(N7:N41)) ), "—")</f>
        <v>0.39919228376853799</v>
      </c>
      <c r="O42" s="14" t="str">
        <f>IF(COUNT(O7:O41) &gt; 0, AVERAGE(O7:O41), "—")</f>
        <v>—</v>
      </c>
      <c r="P42" s="16" t="str">
        <f>IF(COUNT(P7:P41) &gt; 0, SQRT(SUMSQ(P7:P41)/(COUNT(P7:P41)*COUNT(P7:P41)) ), "—")</f>
        <v>—</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c r="W42" s="14">
        <f>IF(COUNT(W7:W41) &gt; 0, AVERAGE(W7:W41), "—")</f>
        <v>0</v>
      </c>
      <c r="X42" s="16">
        <f>IF(COUNT(X7:X41) &gt; 0, SQRT(SUMSQ(X7:X41)/(COUNT(X7:X41)*COUNT(X7:X41)) ), "—")</f>
        <v>0</v>
      </c>
    </row>
    <row r="43" spans="1:24" x14ac:dyDescent="0.25">
      <c r="A43" s="9" t="s">
        <v>176</v>
      </c>
      <c r="B43" s="10"/>
      <c r="C43" s="10"/>
      <c r="D43" s="11"/>
      <c r="E43" s="10"/>
      <c r="F43" s="11"/>
      <c r="G43" s="10"/>
      <c r="H43" s="11"/>
      <c r="I43" s="10"/>
      <c r="J43" s="11"/>
      <c r="K43" s="10"/>
      <c r="L43" s="11"/>
      <c r="M43" s="10"/>
      <c r="N43" s="11"/>
      <c r="O43" s="10"/>
      <c r="P43" s="11"/>
      <c r="Q43" s="10"/>
      <c r="R43" s="11"/>
      <c r="S43" s="10"/>
      <c r="T43" s="11"/>
      <c r="U43" s="10"/>
      <c r="V43" s="11"/>
      <c r="W43" s="10"/>
      <c r="X43" s="12"/>
    </row>
    <row r="44" spans="1:24"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c r="W44" s="17" t="s">
        <v>154</v>
      </c>
      <c r="X44" s="18" t="s">
        <v>154</v>
      </c>
    </row>
    <row r="45" spans="1:24"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c r="W45" s="17" t="s">
        <v>154</v>
      </c>
      <c r="X45" s="18" t="s">
        <v>154</v>
      </c>
    </row>
    <row r="46" spans="1:24" x14ac:dyDescent="0.25">
      <c r="A46" s="11" t="s">
        <v>179</v>
      </c>
      <c r="B46" s="13">
        <v>11068</v>
      </c>
      <c r="C46" s="14">
        <f>(9629/B46*100)</f>
        <v>86.998554391037217</v>
      </c>
      <c r="D46" s="15">
        <v>1439</v>
      </c>
      <c r="E46" s="14">
        <v>28.526581490000002</v>
      </c>
      <c r="F46" s="16">
        <v>1.81739998</v>
      </c>
      <c r="G46" s="14">
        <v>15.16913199</v>
      </c>
      <c r="H46" s="16">
        <v>1.322489</v>
      </c>
      <c r="I46" s="14">
        <v>23.851169380000002</v>
      </c>
      <c r="J46" s="16">
        <v>1.58609687</v>
      </c>
      <c r="K46" s="14">
        <v>10.52699469</v>
      </c>
      <c r="L46" s="16">
        <v>1.1143089900000001</v>
      </c>
      <c r="M46" s="14">
        <v>21.92612244</v>
      </c>
      <c r="N46" s="16">
        <v>1.4097987599999999</v>
      </c>
      <c r="O46" s="14" t="s">
        <v>139</v>
      </c>
      <c r="P46" s="16" t="s">
        <v>139</v>
      </c>
      <c r="Q46" s="14">
        <v>0</v>
      </c>
      <c r="R46" s="16">
        <v>0</v>
      </c>
      <c r="S46" s="14">
        <v>0</v>
      </c>
      <c r="T46" s="16">
        <v>0</v>
      </c>
      <c r="U46" s="14">
        <v>0</v>
      </c>
      <c r="V46" s="16">
        <v>0</v>
      </c>
      <c r="W46" s="14">
        <v>0</v>
      </c>
      <c r="X46" s="16">
        <v>0</v>
      </c>
    </row>
    <row r="47" spans="1:24" x14ac:dyDescent="0.25">
      <c r="A47" s="11" t="s">
        <v>180</v>
      </c>
      <c r="B47" s="13">
        <v>3105</v>
      </c>
      <c r="C47" s="14">
        <f>(2602/B47*100)</f>
        <v>83.800322061191622</v>
      </c>
      <c r="D47" s="15">
        <v>503</v>
      </c>
      <c r="E47" s="14">
        <v>24.947727400000002</v>
      </c>
      <c r="F47" s="16">
        <v>2.4158691399999999</v>
      </c>
      <c r="G47" s="14">
        <v>11.15453012</v>
      </c>
      <c r="H47" s="16">
        <v>1.51721522</v>
      </c>
      <c r="I47" s="14">
        <v>26.593794129999999</v>
      </c>
      <c r="J47" s="16">
        <v>2.12853067</v>
      </c>
      <c r="K47" s="14">
        <v>16.945758919999999</v>
      </c>
      <c r="L47" s="16">
        <v>1.6351619900000001</v>
      </c>
      <c r="M47" s="14">
        <v>20.358189429999999</v>
      </c>
      <c r="N47" s="16">
        <v>1.84984339</v>
      </c>
      <c r="O47" s="14" t="s">
        <v>139</v>
      </c>
      <c r="P47" s="16" t="s">
        <v>139</v>
      </c>
      <c r="Q47" s="14">
        <v>0</v>
      </c>
      <c r="R47" s="16">
        <v>0</v>
      </c>
      <c r="S47" s="14">
        <v>0</v>
      </c>
      <c r="T47" s="16">
        <v>0</v>
      </c>
      <c r="U47" s="14">
        <v>0</v>
      </c>
      <c r="V47" s="16">
        <v>0</v>
      </c>
      <c r="W47" s="14">
        <v>0</v>
      </c>
      <c r="X47" s="16">
        <v>0</v>
      </c>
    </row>
    <row r="48" spans="1:24" x14ac:dyDescent="0.25">
      <c r="A48" s="11" t="s">
        <v>181</v>
      </c>
      <c r="B48" s="13">
        <v>5159</v>
      </c>
      <c r="C48" s="14">
        <f>(4256/B48*100)</f>
        <v>82.496607869742206</v>
      </c>
      <c r="D48" s="15">
        <v>903</v>
      </c>
      <c r="E48" s="14">
        <v>15.74841647</v>
      </c>
      <c r="F48" s="16">
        <v>1.7457753300000001</v>
      </c>
      <c r="G48" s="14">
        <v>7.5111533000000001</v>
      </c>
      <c r="H48" s="16">
        <v>1.41239304</v>
      </c>
      <c r="I48" s="14">
        <v>23.210896739999999</v>
      </c>
      <c r="J48" s="16">
        <v>2.1421453800000001</v>
      </c>
      <c r="K48" s="14">
        <v>22.538066400000002</v>
      </c>
      <c r="L48" s="16">
        <v>1.7861111700000001</v>
      </c>
      <c r="M48" s="14">
        <v>30.99146708</v>
      </c>
      <c r="N48" s="16">
        <v>2.7265676700000001</v>
      </c>
      <c r="O48" s="14" t="s">
        <v>139</v>
      </c>
      <c r="P48" s="16" t="s">
        <v>139</v>
      </c>
      <c r="Q48" s="14">
        <v>0</v>
      </c>
      <c r="R48" s="16">
        <v>0</v>
      </c>
      <c r="S48" s="14">
        <v>0</v>
      </c>
      <c r="T48" s="16">
        <v>0</v>
      </c>
      <c r="U48" s="14">
        <v>0</v>
      </c>
      <c r="V48" s="16">
        <v>0</v>
      </c>
      <c r="W48" s="14">
        <v>0</v>
      </c>
      <c r="X48" s="16">
        <v>0</v>
      </c>
    </row>
    <row r="49" spans="1:24"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c r="W49" s="17" t="s">
        <v>154</v>
      </c>
      <c r="X49" s="18" t="s">
        <v>154</v>
      </c>
    </row>
    <row r="50" spans="1:24" x14ac:dyDescent="0.25">
      <c r="A50" s="11" t="s">
        <v>183</v>
      </c>
      <c r="B50" s="13">
        <v>5637</v>
      </c>
      <c r="C50" s="14">
        <f>(4727/B50*100)</f>
        <v>83.856661344686884</v>
      </c>
      <c r="D50" s="15">
        <v>910</v>
      </c>
      <c r="E50" s="14">
        <v>23.697217009999999</v>
      </c>
      <c r="F50" s="16">
        <v>2.3259778299999998</v>
      </c>
      <c r="G50" s="14">
        <v>11.573894299999999</v>
      </c>
      <c r="H50" s="16">
        <v>1.3625771200000001</v>
      </c>
      <c r="I50" s="14">
        <v>26.354964939999999</v>
      </c>
      <c r="J50" s="16">
        <v>1.96505441</v>
      </c>
      <c r="K50" s="14">
        <v>15.42744003</v>
      </c>
      <c r="L50" s="16">
        <v>1.6638393300000001</v>
      </c>
      <c r="M50" s="14">
        <v>22.94648372</v>
      </c>
      <c r="N50" s="16">
        <v>1.8696908699999999</v>
      </c>
      <c r="O50" s="14" t="s">
        <v>139</v>
      </c>
      <c r="P50" s="16" t="s">
        <v>139</v>
      </c>
      <c r="Q50" s="14">
        <v>0</v>
      </c>
      <c r="R50" s="16">
        <v>0</v>
      </c>
      <c r="S50" s="14">
        <v>0</v>
      </c>
      <c r="T50" s="16">
        <v>0</v>
      </c>
      <c r="U50" s="14">
        <v>0</v>
      </c>
      <c r="V50" s="16">
        <v>0</v>
      </c>
      <c r="W50" s="14">
        <v>0</v>
      </c>
      <c r="X50" s="16">
        <v>0</v>
      </c>
    </row>
    <row r="51" spans="1:24" x14ac:dyDescent="0.25">
      <c r="A51" s="11" t="s">
        <v>184</v>
      </c>
      <c r="B51" s="13">
        <v>3372</v>
      </c>
      <c r="C51" s="14">
        <f>(2886/B51*100)</f>
        <v>85.587188612099638</v>
      </c>
      <c r="D51" s="15">
        <v>486</v>
      </c>
      <c r="E51" s="14">
        <v>15.64030269</v>
      </c>
      <c r="F51" s="16">
        <v>1.9503798400000001</v>
      </c>
      <c r="G51" s="14">
        <v>14.881984539999999</v>
      </c>
      <c r="H51" s="16">
        <v>1.7842914400000001</v>
      </c>
      <c r="I51" s="14">
        <v>22.3437959</v>
      </c>
      <c r="J51" s="16">
        <v>1.9271365</v>
      </c>
      <c r="K51" s="14">
        <v>17.743718909999998</v>
      </c>
      <c r="L51" s="16">
        <v>1.7186174700000001</v>
      </c>
      <c r="M51" s="14">
        <v>29.390197959999998</v>
      </c>
      <c r="N51" s="16">
        <v>2.0548966399999999</v>
      </c>
      <c r="O51" s="14" t="s">
        <v>139</v>
      </c>
      <c r="P51" s="16" t="s">
        <v>139</v>
      </c>
      <c r="Q51" s="14">
        <v>0</v>
      </c>
      <c r="R51" s="16">
        <v>0</v>
      </c>
      <c r="S51" s="14">
        <v>0</v>
      </c>
      <c r="T51" s="16">
        <v>0</v>
      </c>
      <c r="U51" s="14">
        <v>0</v>
      </c>
      <c r="V51" s="16">
        <v>0</v>
      </c>
      <c r="W51" s="14">
        <v>0</v>
      </c>
      <c r="X51" s="16">
        <v>0</v>
      </c>
    </row>
    <row r="52" spans="1:24" x14ac:dyDescent="0.25">
      <c r="A52" s="11" t="s">
        <v>185</v>
      </c>
      <c r="B52" s="13">
        <v>2796</v>
      </c>
      <c r="C52" s="14">
        <f>(2342/B52*100)</f>
        <v>83.762517882689565</v>
      </c>
      <c r="D52" s="15">
        <v>454</v>
      </c>
      <c r="E52" s="14">
        <v>8.2251981199999999</v>
      </c>
      <c r="F52" s="16">
        <v>1.2297174500000001</v>
      </c>
      <c r="G52" s="14">
        <v>10.83478961</v>
      </c>
      <c r="H52" s="16">
        <v>1.42107976</v>
      </c>
      <c r="I52" s="14">
        <v>21.393998799999999</v>
      </c>
      <c r="J52" s="16">
        <v>2.1584681699999999</v>
      </c>
      <c r="K52" s="14">
        <v>20.53243552</v>
      </c>
      <c r="L52" s="16">
        <v>2.1282811399999999</v>
      </c>
      <c r="M52" s="14">
        <v>39.013577949999998</v>
      </c>
      <c r="N52" s="16">
        <v>2.5482768600000001</v>
      </c>
      <c r="O52" s="14" t="s">
        <v>139</v>
      </c>
      <c r="P52" s="16" t="s">
        <v>139</v>
      </c>
      <c r="Q52" s="14">
        <v>0</v>
      </c>
      <c r="R52" s="16">
        <v>0</v>
      </c>
      <c r="S52" s="14">
        <v>0</v>
      </c>
      <c r="T52" s="16">
        <v>0</v>
      </c>
      <c r="U52" s="14">
        <v>0</v>
      </c>
      <c r="V52" s="16">
        <v>0</v>
      </c>
      <c r="W52" s="14">
        <v>0</v>
      </c>
      <c r="X52" s="16">
        <v>0</v>
      </c>
    </row>
    <row r="53" spans="1:24" x14ac:dyDescent="0.25">
      <c r="A53" s="11" t="s">
        <v>186</v>
      </c>
      <c r="B53" s="13">
        <v>2811</v>
      </c>
      <c r="C53" s="14">
        <f>(2316/B53*100)</f>
        <v>82.390608324439697</v>
      </c>
      <c r="D53" s="15">
        <v>495</v>
      </c>
      <c r="E53" s="14">
        <v>16.168716249999999</v>
      </c>
      <c r="F53" s="16">
        <v>1.6542294200000001</v>
      </c>
      <c r="G53" s="14">
        <v>18.93946073</v>
      </c>
      <c r="H53" s="16">
        <v>1.9325550300000001</v>
      </c>
      <c r="I53" s="14">
        <v>23.204540940000001</v>
      </c>
      <c r="J53" s="16">
        <v>2.2147940099999999</v>
      </c>
      <c r="K53" s="14">
        <v>13.087835650000001</v>
      </c>
      <c r="L53" s="16">
        <v>1.7445716</v>
      </c>
      <c r="M53" s="14">
        <v>28.59944643</v>
      </c>
      <c r="N53" s="16">
        <v>2.0922693099999998</v>
      </c>
      <c r="O53" s="14" t="s">
        <v>139</v>
      </c>
      <c r="P53" s="16" t="s">
        <v>139</v>
      </c>
      <c r="Q53" s="14">
        <v>0</v>
      </c>
      <c r="R53" s="16">
        <v>0</v>
      </c>
      <c r="S53" s="14">
        <v>0</v>
      </c>
      <c r="T53" s="16">
        <v>0</v>
      </c>
      <c r="U53" s="14">
        <v>0</v>
      </c>
      <c r="V53" s="16">
        <v>0</v>
      </c>
      <c r="W53" s="14">
        <v>0</v>
      </c>
      <c r="X53" s="16">
        <v>0</v>
      </c>
    </row>
    <row r="54" spans="1:24"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c r="W54" s="17" t="s">
        <v>154</v>
      </c>
      <c r="X54" s="18" t="s">
        <v>154</v>
      </c>
    </row>
    <row r="55" spans="1:24"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c r="W55" s="17" t="s">
        <v>154</v>
      </c>
      <c r="X55" s="18" t="s">
        <v>154</v>
      </c>
    </row>
    <row r="56" spans="1:24" x14ac:dyDescent="0.25">
      <c r="A56" s="11" t="s">
        <v>189</v>
      </c>
      <c r="B56" s="13">
        <v>2684</v>
      </c>
      <c r="C56" s="14">
        <f>(2208/B56*100)</f>
        <v>82.265275707898653</v>
      </c>
      <c r="D56" s="15">
        <v>476</v>
      </c>
      <c r="E56" s="14">
        <v>4.3784989999999997</v>
      </c>
      <c r="F56" s="16">
        <v>0.96284274000000003</v>
      </c>
      <c r="G56" s="14">
        <v>4.5069067699999996</v>
      </c>
      <c r="H56" s="16">
        <v>0.89575044000000004</v>
      </c>
      <c r="I56" s="14">
        <v>30.637899000000001</v>
      </c>
      <c r="J56" s="16">
        <v>2.54374316</v>
      </c>
      <c r="K56" s="14">
        <v>17.70705925</v>
      </c>
      <c r="L56" s="16">
        <v>1.76191506</v>
      </c>
      <c r="M56" s="14">
        <v>42.769635979999997</v>
      </c>
      <c r="N56" s="16">
        <v>2.3034983800000002</v>
      </c>
      <c r="O56" s="14" t="s">
        <v>139</v>
      </c>
      <c r="P56" s="16" t="s">
        <v>139</v>
      </c>
      <c r="Q56" s="14">
        <v>0</v>
      </c>
      <c r="R56" s="16">
        <v>0</v>
      </c>
      <c r="S56" s="14">
        <v>0</v>
      </c>
      <c r="T56" s="16">
        <v>0</v>
      </c>
      <c r="U56" s="14">
        <v>0</v>
      </c>
      <c r="V56" s="16">
        <v>0</v>
      </c>
      <c r="W56" s="14">
        <v>0</v>
      </c>
      <c r="X56" s="16">
        <v>0</v>
      </c>
    </row>
    <row r="57" spans="1:24"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c r="W57" s="17" t="s">
        <v>154</v>
      </c>
      <c r="X57" s="18" t="s">
        <v>154</v>
      </c>
    </row>
    <row r="58" spans="1:24"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c r="W58" s="17" t="s">
        <v>154</v>
      </c>
      <c r="X58" s="18" t="s">
        <v>154</v>
      </c>
    </row>
    <row r="59" spans="1:24"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c r="W59" s="17" t="s">
        <v>154</v>
      </c>
      <c r="X59" s="18" t="s">
        <v>154</v>
      </c>
    </row>
    <row r="60" spans="1:24"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c r="W60" s="17" t="s">
        <v>154</v>
      </c>
      <c r="X60" s="18" t="s">
        <v>154</v>
      </c>
    </row>
    <row r="61" spans="1:24" x14ac:dyDescent="0.25">
      <c r="A61" s="11" t="s">
        <v>194</v>
      </c>
      <c r="B61" s="13">
        <v>3324</v>
      </c>
      <c r="C61" s="14">
        <f>(2773/B61*100)</f>
        <v>83.423586040914572</v>
      </c>
      <c r="D61" s="15">
        <v>551</v>
      </c>
      <c r="E61" s="14">
        <v>11.486222509999999</v>
      </c>
      <c r="F61" s="16">
        <v>1.4106466</v>
      </c>
      <c r="G61" s="14">
        <v>13.20235113</v>
      </c>
      <c r="H61" s="16">
        <v>1.5045204599999999</v>
      </c>
      <c r="I61" s="14">
        <v>21.092512960000001</v>
      </c>
      <c r="J61" s="16">
        <v>1.9200099500000001</v>
      </c>
      <c r="K61" s="14">
        <v>21.260471290000002</v>
      </c>
      <c r="L61" s="16">
        <v>1.8062832499999999</v>
      </c>
      <c r="M61" s="14">
        <v>32.95844211</v>
      </c>
      <c r="N61" s="16">
        <v>1.9916072600000001</v>
      </c>
      <c r="O61" s="14" t="s">
        <v>139</v>
      </c>
      <c r="P61" s="16" t="s">
        <v>139</v>
      </c>
      <c r="Q61" s="14">
        <v>0</v>
      </c>
      <c r="R61" s="16">
        <v>0</v>
      </c>
      <c r="S61" s="14">
        <v>0</v>
      </c>
      <c r="T61" s="16">
        <v>0</v>
      </c>
      <c r="U61" s="14">
        <v>0</v>
      </c>
      <c r="V61" s="16">
        <v>0</v>
      </c>
      <c r="W61" s="14">
        <v>0</v>
      </c>
      <c r="X61" s="16">
        <v>0</v>
      </c>
    </row>
    <row r="62" spans="1:24" x14ac:dyDescent="0.25">
      <c r="A62" s="11" t="s">
        <v>195</v>
      </c>
      <c r="B62" s="13">
        <v>2246</v>
      </c>
      <c r="C62" s="14">
        <f>(1875/B62*100)</f>
        <v>83.48174532502226</v>
      </c>
      <c r="D62" s="15">
        <v>371</v>
      </c>
      <c r="E62" s="14">
        <v>9.4263663999999991</v>
      </c>
      <c r="F62" s="16">
        <v>1.4580071299999999</v>
      </c>
      <c r="G62" s="14">
        <v>6.4535829900000001</v>
      </c>
      <c r="H62" s="16">
        <v>1.19710209</v>
      </c>
      <c r="I62" s="14">
        <v>30.737708900000001</v>
      </c>
      <c r="J62" s="16">
        <v>2.26194622</v>
      </c>
      <c r="K62" s="14">
        <v>16.192539740000001</v>
      </c>
      <c r="L62" s="16">
        <v>1.8319804399999999</v>
      </c>
      <c r="M62" s="14">
        <v>37.189801979999999</v>
      </c>
      <c r="N62" s="16">
        <v>2.9854658999999999</v>
      </c>
      <c r="O62" s="14" t="s">
        <v>139</v>
      </c>
      <c r="P62" s="16" t="s">
        <v>139</v>
      </c>
      <c r="Q62" s="14">
        <v>0</v>
      </c>
      <c r="R62" s="16">
        <v>0</v>
      </c>
      <c r="S62" s="14">
        <v>0</v>
      </c>
      <c r="T62" s="16">
        <v>0</v>
      </c>
      <c r="U62" s="14">
        <v>0</v>
      </c>
      <c r="V62" s="16">
        <v>0</v>
      </c>
      <c r="W62" s="14">
        <v>0</v>
      </c>
      <c r="X62" s="16">
        <v>0</v>
      </c>
    </row>
    <row r="63" spans="1:24"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c r="W63" s="17" t="s">
        <v>154</v>
      </c>
      <c r="X63" s="18" t="s">
        <v>154</v>
      </c>
    </row>
    <row r="64" spans="1:24"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c r="W64" s="17" t="s">
        <v>154</v>
      </c>
      <c r="X64" s="18" t="s">
        <v>154</v>
      </c>
    </row>
    <row r="65" spans="1:24"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c r="W65" s="17" t="s">
        <v>154</v>
      </c>
      <c r="X65" s="18" t="s">
        <v>154</v>
      </c>
    </row>
    <row r="66" spans="1:24" x14ac:dyDescent="0.25">
      <c r="A66" s="11" t="s">
        <v>199</v>
      </c>
      <c r="B66" s="13">
        <v>2894</v>
      </c>
      <c r="C66" s="14">
        <f>(2419/B66*100)</f>
        <v>83.586731167933664</v>
      </c>
      <c r="D66" s="15">
        <v>475</v>
      </c>
      <c r="E66" s="14">
        <v>29.744592269999998</v>
      </c>
      <c r="F66" s="16">
        <v>1.9607920599999999</v>
      </c>
      <c r="G66" s="14">
        <v>12.085947190000001</v>
      </c>
      <c r="H66" s="16">
        <v>1.53278253</v>
      </c>
      <c r="I66" s="14">
        <v>24.475437759999998</v>
      </c>
      <c r="J66" s="16">
        <v>1.94151886</v>
      </c>
      <c r="K66" s="14">
        <v>15.407501359999999</v>
      </c>
      <c r="L66" s="16">
        <v>1.69261437</v>
      </c>
      <c r="M66" s="14">
        <v>18.28652142</v>
      </c>
      <c r="N66" s="16">
        <v>1.5301432500000001</v>
      </c>
      <c r="O66" s="14" t="s">
        <v>139</v>
      </c>
      <c r="P66" s="16" t="s">
        <v>139</v>
      </c>
      <c r="Q66" s="14">
        <v>0</v>
      </c>
      <c r="R66" s="16">
        <v>0</v>
      </c>
      <c r="S66" s="14">
        <v>0</v>
      </c>
      <c r="T66" s="16">
        <v>0</v>
      </c>
      <c r="U66" s="14">
        <v>0</v>
      </c>
      <c r="V66" s="16">
        <v>0</v>
      </c>
      <c r="W66" s="14">
        <v>0</v>
      </c>
      <c r="X66" s="16">
        <v>0</v>
      </c>
    </row>
    <row r="67" spans="1:24" x14ac:dyDescent="0.25">
      <c r="A67" s="11" t="s">
        <v>200</v>
      </c>
      <c r="B67" s="13">
        <v>3511</v>
      </c>
      <c r="C67" s="14">
        <f>(2968/B67*100)</f>
        <v>84.534320706351465</v>
      </c>
      <c r="D67" s="15">
        <v>543</v>
      </c>
      <c r="E67" s="14">
        <v>26.264895370000001</v>
      </c>
      <c r="F67" s="16">
        <v>2.2585505800000001</v>
      </c>
      <c r="G67" s="14">
        <v>12.883885169999999</v>
      </c>
      <c r="H67" s="16">
        <v>1.52369759</v>
      </c>
      <c r="I67" s="14">
        <v>19.810391150000001</v>
      </c>
      <c r="J67" s="16">
        <v>1.70155637</v>
      </c>
      <c r="K67" s="14">
        <v>14.579545550000001</v>
      </c>
      <c r="L67" s="16">
        <v>1.43896051</v>
      </c>
      <c r="M67" s="14">
        <v>26.46128276</v>
      </c>
      <c r="N67" s="16">
        <v>1.99984491</v>
      </c>
      <c r="O67" s="14" t="s">
        <v>139</v>
      </c>
      <c r="P67" s="16" t="s">
        <v>139</v>
      </c>
      <c r="Q67" s="14">
        <v>0</v>
      </c>
      <c r="R67" s="16">
        <v>0</v>
      </c>
      <c r="S67" s="14">
        <v>0</v>
      </c>
      <c r="T67" s="16">
        <v>0</v>
      </c>
      <c r="U67" s="14">
        <v>0</v>
      </c>
      <c r="V67" s="16">
        <v>0</v>
      </c>
      <c r="W67" s="14">
        <v>0</v>
      </c>
      <c r="X67" s="16">
        <v>0</v>
      </c>
    </row>
    <row r="68" spans="1:24"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c r="W68" s="17" t="s">
        <v>154</v>
      </c>
      <c r="X68" s="18" t="s">
        <v>154</v>
      </c>
    </row>
    <row r="69" spans="1:24"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c r="W69" s="17" t="s">
        <v>154</v>
      </c>
      <c r="X69" s="18" t="s">
        <v>154</v>
      </c>
    </row>
    <row r="70" spans="1:24" x14ac:dyDescent="0.25">
      <c r="A70" s="11" t="s">
        <v>203</v>
      </c>
      <c r="B70" s="13">
        <v>2929</v>
      </c>
      <c r="C70" s="14">
        <f>(2438/B70*100)</f>
        <v>83.236599522021166</v>
      </c>
      <c r="D70" s="15">
        <v>491</v>
      </c>
      <c r="E70" s="14">
        <v>10.877337989999999</v>
      </c>
      <c r="F70" s="16">
        <v>1.5140174500000001</v>
      </c>
      <c r="G70" s="14">
        <v>9.5056735099999994</v>
      </c>
      <c r="H70" s="16">
        <v>1.5045847299999999</v>
      </c>
      <c r="I70" s="14">
        <v>28.515632069999999</v>
      </c>
      <c r="J70" s="16">
        <v>2.1648530300000002</v>
      </c>
      <c r="K70" s="14">
        <v>18.111158629999998</v>
      </c>
      <c r="L70" s="16">
        <v>1.78218838</v>
      </c>
      <c r="M70" s="14">
        <v>32.990197809999998</v>
      </c>
      <c r="N70" s="16">
        <v>2.6906433700000001</v>
      </c>
      <c r="O70" s="14" t="s">
        <v>139</v>
      </c>
      <c r="P70" s="16" t="s">
        <v>139</v>
      </c>
      <c r="Q70" s="14">
        <v>0</v>
      </c>
      <c r="R70" s="16">
        <v>0</v>
      </c>
      <c r="S70" s="14">
        <v>0</v>
      </c>
      <c r="T70" s="16">
        <v>0</v>
      </c>
      <c r="U70" s="14">
        <v>0</v>
      </c>
      <c r="V70" s="16">
        <v>0</v>
      </c>
      <c r="W70" s="14">
        <v>0</v>
      </c>
      <c r="X70" s="16">
        <v>0</v>
      </c>
    </row>
    <row r="71" spans="1:24"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c r="W71" s="17" t="s">
        <v>154</v>
      </c>
      <c r="X71" s="18" t="s">
        <v>154</v>
      </c>
    </row>
    <row r="72" spans="1:24" x14ac:dyDescent="0.25">
      <c r="A72" s="11" t="s">
        <v>205</v>
      </c>
      <c r="B72" s="13">
        <v>3889</v>
      </c>
      <c r="C72" s="14">
        <f>(3224/B72*100)</f>
        <v>82.900488557469785</v>
      </c>
      <c r="D72" s="15">
        <v>665</v>
      </c>
      <c r="E72" s="14">
        <v>9.0728366099999995</v>
      </c>
      <c r="F72" s="16">
        <v>1.16299807</v>
      </c>
      <c r="G72" s="14">
        <v>6.80051629</v>
      </c>
      <c r="H72" s="16">
        <v>0.93126211000000003</v>
      </c>
      <c r="I72" s="14">
        <v>23.261916750000001</v>
      </c>
      <c r="J72" s="16">
        <v>1.70703841</v>
      </c>
      <c r="K72" s="14">
        <v>16.69003464</v>
      </c>
      <c r="L72" s="16">
        <v>1.4386039900000001</v>
      </c>
      <c r="M72" s="14">
        <v>44.174695710000002</v>
      </c>
      <c r="N72" s="16">
        <v>2.2249146099999999</v>
      </c>
      <c r="O72" s="14" t="s">
        <v>139</v>
      </c>
      <c r="P72" s="16" t="s">
        <v>139</v>
      </c>
      <c r="Q72" s="14">
        <v>0</v>
      </c>
      <c r="R72" s="16">
        <v>0</v>
      </c>
      <c r="S72" s="14">
        <v>0</v>
      </c>
      <c r="T72" s="16">
        <v>0</v>
      </c>
      <c r="U72" s="14">
        <v>0</v>
      </c>
      <c r="V72" s="16">
        <v>0</v>
      </c>
      <c r="W72" s="14">
        <v>0</v>
      </c>
      <c r="X72" s="16">
        <v>0</v>
      </c>
    </row>
    <row r="73" spans="1:24" x14ac:dyDescent="0.25">
      <c r="A73" s="11" t="s">
        <v>206</v>
      </c>
      <c r="B73" s="13">
        <v>3597</v>
      </c>
      <c r="C73" s="14">
        <f>(3018/B73*100)</f>
        <v>83.903252710592156</v>
      </c>
      <c r="D73" s="15">
        <v>579</v>
      </c>
      <c r="E73" s="14">
        <v>35.911145820000002</v>
      </c>
      <c r="F73" s="16">
        <v>2.4440646799999999</v>
      </c>
      <c r="G73" s="14">
        <v>17.022711430000001</v>
      </c>
      <c r="H73" s="16">
        <v>1.9660080900000001</v>
      </c>
      <c r="I73" s="14">
        <v>26.431214390000001</v>
      </c>
      <c r="J73" s="16">
        <v>2.7012806899999999</v>
      </c>
      <c r="K73" s="14">
        <v>11.26794765</v>
      </c>
      <c r="L73" s="16">
        <v>1.55694154</v>
      </c>
      <c r="M73" s="14">
        <v>9.3669806999999992</v>
      </c>
      <c r="N73" s="16">
        <v>1.5658012699999999</v>
      </c>
      <c r="O73" s="14" t="s">
        <v>139</v>
      </c>
      <c r="P73" s="16" t="s">
        <v>139</v>
      </c>
      <c r="Q73" s="14">
        <v>0</v>
      </c>
      <c r="R73" s="16">
        <v>0</v>
      </c>
      <c r="S73" s="14">
        <v>0</v>
      </c>
      <c r="T73" s="16">
        <v>0</v>
      </c>
      <c r="U73" s="14">
        <v>0</v>
      </c>
      <c r="V73" s="16">
        <v>0</v>
      </c>
      <c r="W73" s="14">
        <v>0</v>
      </c>
      <c r="X73" s="16">
        <v>0</v>
      </c>
    </row>
    <row r="74" spans="1:24"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c r="W74" s="17" t="s">
        <v>154</v>
      </c>
      <c r="X74" s="18" t="s">
        <v>154</v>
      </c>
    </row>
    <row r="75" spans="1:24" x14ac:dyDescent="0.25">
      <c r="A75" s="11" t="s">
        <v>208</v>
      </c>
      <c r="B75" s="13">
        <v>2406</v>
      </c>
      <c r="C75" s="14">
        <f>(2055/B75*100)</f>
        <v>85.411471321695771</v>
      </c>
      <c r="D75" s="15">
        <v>351</v>
      </c>
      <c r="E75" s="14">
        <v>40.10818038</v>
      </c>
      <c r="F75" s="16">
        <v>3.11253578</v>
      </c>
      <c r="G75" s="14">
        <v>20.21723742</v>
      </c>
      <c r="H75" s="16">
        <v>2.1578716299999998</v>
      </c>
      <c r="I75" s="14">
        <v>22.371214420000001</v>
      </c>
      <c r="J75" s="16">
        <v>2.2326135699999998</v>
      </c>
      <c r="K75" s="14">
        <v>8.7221912899999996</v>
      </c>
      <c r="L75" s="16">
        <v>1.3738433699999999</v>
      </c>
      <c r="M75" s="14">
        <v>8.5811764999999998</v>
      </c>
      <c r="N75" s="16">
        <v>1.13787799</v>
      </c>
      <c r="O75" s="14" t="s">
        <v>139</v>
      </c>
      <c r="P75" s="16" t="s">
        <v>139</v>
      </c>
      <c r="Q75" s="14">
        <v>0</v>
      </c>
      <c r="R75" s="16">
        <v>0</v>
      </c>
      <c r="S75" s="14">
        <v>0</v>
      </c>
      <c r="T75" s="16">
        <v>0</v>
      </c>
      <c r="U75" s="14">
        <v>0</v>
      </c>
      <c r="V75" s="16">
        <v>0</v>
      </c>
      <c r="W75" s="14">
        <v>0</v>
      </c>
      <c r="X75" s="16">
        <v>0</v>
      </c>
    </row>
    <row r="76" spans="1:24" x14ac:dyDescent="0.25">
      <c r="A76" s="11" t="s">
        <v>209</v>
      </c>
      <c r="B76" s="13">
        <v>7052</v>
      </c>
      <c r="C76" s="14">
        <f>(5835/B76*100)</f>
        <v>82.7424844015882</v>
      </c>
      <c r="D76" s="15">
        <v>1217</v>
      </c>
      <c r="E76" s="14">
        <v>25.560859919999999</v>
      </c>
      <c r="F76" s="16">
        <v>1.73375648</v>
      </c>
      <c r="G76" s="14">
        <v>16.833821220000001</v>
      </c>
      <c r="H76" s="16">
        <v>1.2158036800000001</v>
      </c>
      <c r="I76" s="14">
        <v>25.902810129999999</v>
      </c>
      <c r="J76" s="16">
        <v>1.6043552000000001</v>
      </c>
      <c r="K76" s="14">
        <v>12.84255744</v>
      </c>
      <c r="L76" s="16">
        <v>1.1683295199999999</v>
      </c>
      <c r="M76" s="14">
        <v>18.859951299999999</v>
      </c>
      <c r="N76" s="16">
        <v>1.3663704800000001</v>
      </c>
      <c r="O76" s="14" t="s">
        <v>139</v>
      </c>
      <c r="P76" s="16" t="s">
        <v>139</v>
      </c>
      <c r="Q76" s="14">
        <v>0</v>
      </c>
      <c r="R76" s="16">
        <v>0</v>
      </c>
      <c r="S76" s="14">
        <v>0</v>
      </c>
      <c r="T76" s="16">
        <v>0</v>
      </c>
      <c r="U76" s="14">
        <v>0</v>
      </c>
      <c r="V76" s="16">
        <v>0</v>
      </c>
      <c r="W76" s="14">
        <v>0</v>
      </c>
      <c r="X76" s="16">
        <v>0</v>
      </c>
    </row>
    <row r="77" spans="1:24" x14ac:dyDescent="0.25">
      <c r="A77" s="11" t="s">
        <v>210</v>
      </c>
      <c r="B77" s="13">
        <v>2908</v>
      </c>
      <c r="C77" s="14">
        <f>(2418/B77*100)</f>
        <v>83.149931224209084</v>
      </c>
      <c r="D77" s="15">
        <v>490</v>
      </c>
      <c r="E77" s="14">
        <v>19.806501040000001</v>
      </c>
      <c r="F77" s="16">
        <v>1.8650043599999999</v>
      </c>
      <c r="G77" s="14">
        <v>10.205208259999999</v>
      </c>
      <c r="H77" s="16">
        <v>1.47851187</v>
      </c>
      <c r="I77" s="14">
        <v>18.84568067</v>
      </c>
      <c r="J77" s="16">
        <v>1.68647675</v>
      </c>
      <c r="K77" s="14">
        <v>23.389400519999999</v>
      </c>
      <c r="L77" s="16">
        <v>2.03600088</v>
      </c>
      <c r="M77" s="14">
        <v>27.753209510000001</v>
      </c>
      <c r="N77" s="16">
        <v>2.1636538999999999</v>
      </c>
      <c r="O77" s="14" t="s">
        <v>139</v>
      </c>
      <c r="P77" s="16" t="s">
        <v>139</v>
      </c>
      <c r="Q77" s="14">
        <v>0</v>
      </c>
      <c r="R77" s="16">
        <v>0</v>
      </c>
      <c r="S77" s="14">
        <v>0</v>
      </c>
      <c r="T77" s="16">
        <v>0</v>
      </c>
      <c r="U77" s="14">
        <v>0</v>
      </c>
      <c r="V77" s="16">
        <v>0</v>
      </c>
      <c r="W77" s="14">
        <v>0</v>
      </c>
      <c r="X77" s="16">
        <v>0</v>
      </c>
    </row>
    <row r="78" spans="1:24"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c r="W78" s="17" t="s">
        <v>154</v>
      </c>
      <c r="X78" s="18" t="s">
        <v>154</v>
      </c>
    </row>
    <row r="79" spans="1:24"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c r="W79" s="17" t="s">
        <v>154</v>
      </c>
      <c r="X79" s="18" t="s">
        <v>154</v>
      </c>
    </row>
    <row r="80" spans="1:24"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c r="W80" s="17" t="s">
        <v>154</v>
      </c>
      <c r="X80" s="18" t="s">
        <v>154</v>
      </c>
    </row>
    <row r="81" spans="1:24" x14ac:dyDescent="0.25">
      <c r="A81" s="19" t="s">
        <v>214</v>
      </c>
      <c r="B81" s="13">
        <v>4163</v>
      </c>
      <c r="C81" s="14">
        <f>(3996/B81*100)</f>
        <v>95.988469853471059</v>
      </c>
      <c r="D81" s="15">
        <v>167</v>
      </c>
      <c r="E81" s="14">
        <v>13.011417979999999</v>
      </c>
      <c r="F81" s="16">
        <v>2.62812358</v>
      </c>
      <c r="G81" s="14">
        <v>10.634203980000001</v>
      </c>
      <c r="H81" s="16">
        <v>3.16573569</v>
      </c>
      <c r="I81" s="14">
        <v>29.15631892</v>
      </c>
      <c r="J81" s="16">
        <v>4.0445764200000003</v>
      </c>
      <c r="K81" s="14">
        <v>19.194950129999999</v>
      </c>
      <c r="L81" s="16">
        <v>4.2945781399999996</v>
      </c>
      <c r="M81" s="14">
        <v>28.003108990000001</v>
      </c>
      <c r="N81" s="16">
        <v>3.7325318300000001</v>
      </c>
      <c r="O81" s="14" t="s">
        <v>139</v>
      </c>
      <c r="P81" s="16" t="s">
        <v>139</v>
      </c>
      <c r="Q81" s="14">
        <v>0</v>
      </c>
      <c r="R81" s="16">
        <v>0</v>
      </c>
      <c r="S81" s="14">
        <v>0</v>
      </c>
      <c r="T81" s="16">
        <v>0</v>
      </c>
      <c r="U81" s="14">
        <v>0</v>
      </c>
      <c r="V81" s="16">
        <v>0</v>
      </c>
      <c r="W81" s="14">
        <v>0</v>
      </c>
      <c r="X81" s="16">
        <v>0</v>
      </c>
    </row>
    <row r="82" spans="1:24"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c r="W82" s="20" t="s">
        <v>215</v>
      </c>
      <c r="X82" s="20" t="s">
        <v>215</v>
      </c>
    </row>
    <row r="83" spans="1:24" x14ac:dyDescent="0.25">
      <c r="A83" s="3" t="s">
        <v>216</v>
      </c>
    </row>
    <row r="84" spans="1:24" x14ac:dyDescent="0.25">
      <c r="A84" s="28" t="s">
        <v>217</v>
      </c>
      <c r="B84" s="26"/>
      <c r="C84" s="26"/>
      <c r="D84" s="26"/>
      <c r="E84" s="26"/>
      <c r="F84" s="26"/>
      <c r="G84" s="26"/>
      <c r="H84" s="26"/>
      <c r="I84" s="26"/>
      <c r="J84" s="26"/>
      <c r="K84" s="26"/>
      <c r="L84" s="26"/>
      <c r="M84" s="26"/>
      <c r="N84" s="26"/>
      <c r="O84" s="26"/>
      <c r="P84" s="26"/>
      <c r="Q84" s="26"/>
      <c r="R84" s="26"/>
      <c r="S84" s="26"/>
      <c r="T84" s="26"/>
      <c r="U84" s="26"/>
      <c r="V84" s="26"/>
      <c r="W84" s="26"/>
      <c r="X84" s="26"/>
    </row>
    <row r="85" spans="1:24" x14ac:dyDescent="0.25">
      <c r="A85" s="28" t="s">
        <v>218</v>
      </c>
      <c r="B85" s="26"/>
      <c r="C85" s="26"/>
      <c r="D85" s="26"/>
      <c r="E85" s="26"/>
      <c r="F85" s="26"/>
      <c r="G85" s="26"/>
      <c r="H85" s="26"/>
      <c r="I85" s="26"/>
      <c r="J85" s="26"/>
      <c r="K85" s="26"/>
      <c r="L85" s="26"/>
      <c r="M85" s="26"/>
      <c r="N85" s="26"/>
      <c r="O85" s="26"/>
      <c r="P85" s="26"/>
      <c r="Q85" s="26"/>
      <c r="R85" s="26"/>
      <c r="S85" s="26"/>
      <c r="T85" s="26"/>
      <c r="U85" s="26"/>
      <c r="V85" s="26"/>
      <c r="W85" s="26"/>
      <c r="X85" s="26"/>
    </row>
    <row r="86" spans="1:24"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c r="W86" s="26"/>
      <c r="X86" s="26"/>
    </row>
    <row r="87" spans="1:24"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c r="W87" s="26"/>
      <c r="X87" s="26"/>
    </row>
    <row r="88" spans="1:24"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c r="W88" s="26"/>
      <c r="X88" s="26"/>
    </row>
    <row r="89" spans="1:24"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c r="W89" s="26"/>
      <c r="X89" s="26"/>
    </row>
    <row r="90" spans="1:24"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c r="W90" s="26"/>
      <c r="X90" s="26"/>
    </row>
    <row r="91" spans="1:24"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c r="W91" s="26"/>
      <c r="X91" s="26"/>
    </row>
    <row r="92" spans="1:24"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c r="W92" s="26"/>
      <c r="X92" s="26"/>
    </row>
    <row r="93" spans="1:24"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c r="W93" s="26"/>
      <c r="X93" s="26"/>
    </row>
    <row r="94" spans="1:24"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c r="W94" s="26"/>
      <c r="X94" s="26"/>
    </row>
    <row r="95" spans="1:24"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c r="W95" s="26"/>
      <c r="X95" s="26"/>
    </row>
    <row r="96" spans="1:24"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c r="W96" s="26"/>
      <c r="X96" s="26"/>
    </row>
  </sheetData>
  <mergeCells count="25">
    <mergeCell ref="A92:X92"/>
    <mergeCell ref="A93:X93"/>
    <mergeCell ref="A94:X94"/>
    <mergeCell ref="A95:X95"/>
    <mergeCell ref="A96:X96"/>
    <mergeCell ref="A87:X87"/>
    <mergeCell ref="A88:X88"/>
    <mergeCell ref="A89:X89"/>
    <mergeCell ref="A90:X90"/>
    <mergeCell ref="A91:X91"/>
    <mergeCell ref="A1:X1"/>
    <mergeCell ref="A2:X2"/>
    <mergeCell ref="A84:X84"/>
    <mergeCell ref="A85:X85"/>
    <mergeCell ref="A86:X86"/>
    <mergeCell ref="O4:P4"/>
    <mergeCell ref="Q4:R4"/>
    <mergeCell ref="S4:T4"/>
    <mergeCell ref="U4:V4"/>
    <mergeCell ref="W4:X4"/>
    <mergeCell ref="E4:F4"/>
    <mergeCell ref="G4:H4"/>
    <mergeCell ref="I4:J4"/>
    <mergeCell ref="K4:L4"/>
    <mergeCell ref="M4:N4"/>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279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35.389388390000001</v>
      </c>
      <c r="F7" s="16">
        <v>1.7919358599999999</v>
      </c>
      <c r="G7" s="14">
        <v>64.610611610000007</v>
      </c>
      <c r="H7" s="16">
        <v>1.7919358599999999</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32.564128259999997</v>
      </c>
      <c r="F8" s="16">
        <v>2.2699921700000001</v>
      </c>
      <c r="G8" s="14">
        <v>67.435871739999996</v>
      </c>
      <c r="H8" s="16">
        <v>2.2699921700000001</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29.42504684</v>
      </c>
      <c r="F9" s="16">
        <v>1.76899666</v>
      </c>
      <c r="G9" s="14">
        <v>70.574953160000007</v>
      </c>
      <c r="H9" s="16">
        <v>1.76899666</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32.948702650000001</v>
      </c>
      <c r="F10" s="16">
        <v>1.4998712700000001</v>
      </c>
      <c r="G10" s="14">
        <v>67.051297349999999</v>
      </c>
      <c r="H10" s="16">
        <v>1.4998712700000001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23.89356695</v>
      </c>
      <c r="F11" s="16">
        <v>1.68062288</v>
      </c>
      <c r="G11" s="14">
        <v>76.106433050000007</v>
      </c>
      <c r="H11" s="16">
        <v>1.68062288</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33.550676350000003</v>
      </c>
      <c r="F12" s="16">
        <v>2.1543938900000001</v>
      </c>
      <c r="G12" s="14">
        <v>66.449323649999997</v>
      </c>
      <c r="H12" s="16">
        <v>2.1543938900000001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21.35597435</v>
      </c>
      <c r="F13" s="16">
        <v>2.0669100199999999</v>
      </c>
      <c r="G13" s="14">
        <v>78.644025650000003</v>
      </c>
      <c r="H13" s="16">
        <v>2.0669100199999999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27.004456000000001</v>
      </c>
      <c r="F14" s="16">
        <v>2.2315611799999999</v>
      </c>
      <c r="G14" s="14">
        <v>72.995543999999995</v>
      </c>
      <c r="H14" s="16">
        <v>2.2315611799999999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27.096025149999999</v>
      </c>
      <c r="F15" s="16">
        <v>2.11732926</v>
      </c>
      <c r="G15" s="14">
        <v>72.903974849999997</v>
      </c>
      <c r="H15" s="16">
        <v>2.11732926</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37.595110310000003</v>
      </c>
      <c r="F16" s="16">
        <v>2.0398840499999999</v>
      </c>
      <c r="G16" s="14">
        <v>62.404889689999997</v>
      </c>
      <c r="H16" s="16">
        <v>2.0398840499999999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27.15835118</v>
      </c>
      <c r="F17" s="16">
        <v>1.5515692400000001</v>
      </c>
      <c r="G17" s="14">
        <v>72.841648820000003</v>
      </c>
      <c r="H17" s="16">
        <v>1.5515692400000001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31.748811079999999</v>
      </c>
      <c r="F18" s="16">
        <v>2.4861151700000002</v>
      </c>
      <c r="G18" s="14">
        <v>68.251188920000004</v>
      </c>
      <c r="H18" s="16">
        <v>2.4861151700000002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20.962306609999999</v>
      </c>
      <c r="F19" s="16">
        <v>2.1183597700000001</v>
      </c>
      <c r="G19" s="14">
        <v>79.037693390000001</v>
      </c>
      <c r="H19" s="16">
        <v>2.1183597700000001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30.562995560000001</v>
      </c>
      <c r="F20" s="16">
        <v>2.8385894299999999</v>
      </c>
      <c r="G20" s="14">
        <v>69.437004439999995</v>
      </c>
      <c r="H20" s="16">
        <v>2.8385894299999999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28.47260313</v>
      </c>
      <c r="F22" s="16">
        <v>2.20118861</v>
      </c>
      <c r="G22" s="14">
        <v>71.527396870000004</v>
      </c>
      <c r="H22" s="16">
        <v>2.20118861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30.69101852</v>
      </c>
      <c r="F23" s="16">
        <v>2.4287716399999999</v>
      </c>
      <c r="G23" s="14">
        <v>69.30898148</v>
      </c>
      <c r="H23" s="16">
        <v>2.4287716399999999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31.825004679999999</v>
      </c>
      <c r="F24" s="16">
        <v>2.2131574299999999</v>
      </c>
      <c r="G24" s="14">
        <v>68.174995319999994</v>
      </c>
      <c r="H24" s="16">
        <v>2.2131574299999999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20.28924383</v>
      </c>
      <c r="F25" s="16">
        <v>1.75104664</v>
      </c>
      <c r="G25" s="14">
        <v>79.710756169999996</v>
      </c>
      <c r="H25" s="16">
        <v>1.75104664</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19.925891020000002</v>
      </c>
      <c r="F26" s="16">
        <v>2.25115657</v>
      </c>
      <c r="G26" s="14">
        <v>80.074108980000005</v>
      </c>
      <c r="H26" s="16">
        <v>2.25115657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36.892981390000003</v>
      </c>
      <c r="F27" s="16">
        <v>2.5982234000000002</v>
      </c>
      <c r="G27" s="14">
        <v>63.107018609999997</v>
      </c>
      <c r="H27" s="16">
        <v>2.5982234000000002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28.705364419999999</v>
      </c>
      <c r="F28" s="16">
        <v>1.93618986</v>
      </c>
      <c r="G28" s="14">
        <v>71.294635580000005</v>
      </c>
      <c r="H28" s="16">
        <v>1.93618986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32.558012980000001</v>
      </c>
      <c r="F29" s="16">
        <v>2.4401381</v>
      </c>
      <c r="G29" s="14">
        <v>67.441987019999999</v>
      </c>
      <c r="H29" s="16">
        <v>2.4401381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37.713285650000003</v>
      </c>
      <c r="F30" s="16">
        <v>2.7904621700000001</v>
      </c>
      <c r="G30" s="14">
        <v>62.286714349999997</v>
      </c>
      <c r="H30" s="16">
        <v>2.7904621700000001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29.317729239999998</v>
      </c>
      <c r="F31" s="16">
        <v>1.8376688299999999</v>
      </c>
      <c r="G31" s="14">
        <v>70.682270759999994</v>
      </c>
      <c r="H31" s="16">
        <v>1.8376688299999999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36.069494429999999</v>
      </c>
      <c r="F33" s="16">
        <v>2.4338632200000001</v>
      </c>
      <c r="G33" s="14">
        <v>63.930505570000001</v>
      </c>
      <c r="H33" s="16">
        <v>2.4338632200000001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39.032229370000003</v>
      </c>
      <c r="F34" s="16">
        <v>2.29950279</v>
      </c>
      <c r="G34" s="14">
        <v>60.967770629999997</v>
      </c>
      <c r="H34" s="16">
        <v>2.29950279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25.29887909</v>
      </c>
      <c r="F35" s="16">
        <v>1.8758025300000001</v>
      </c>
      <c r="G35" s="14">
        <v>74.70112091</v>
      </c>
      <c r="H35" s="16">
        <v>1.8758025300000001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25.748142229999999</v>
      </c>
      <c r="F36" s="16">
        <v>1.87154869</v>
      </c>
      <c r="G36" s="14">
        <v>74.251857770000001</v>
      </c>
      <c r="H36" s="16">
        <v>1.87154869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32.218927809999997</v>
      </c>
      <c r="F37" s="16">
        <v>2.3075090299999998</v>
      </c>
      <c r="G37" s="14">
        <v>67.781072190000003</v>
      </c>
      <c r="H37" s="16">
        <v>2.3075090299999998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30.244793680000001</v>
      </c>
      <c r="F39" s="16">
        <v>2.0102956999999999</v>
      </c>
      <c r="G39" s="14">
        <v>69.755206319999999</v>
      </c>
      <c r="H39" s="16">
        <v>2.0102956999999999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33.857548340000001</v>
      </c>
      <c r="F40" s="16">
        <v>2.0028889400000001</v>
      </c>
      <c r="G40" s="14">
        <v>66.142451660000006</v>
      </c>
      <c r="H40" s="16">
        <v>2.0028889400000001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28.966146030000001</v>
      </c>
      <c r="F41" s="16">
        <v>2.5759132</v>
      </c>
      <c r="G41" s="14">
        <v>71.033853969999996</v>
      </c>
      <c r="H41" s="16">
        <v>2.5759132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29.971338609999997</v>
      </c>
      <c r="F42" s="16">
        <f>IF(COUNT(F7:F41) &gt; 0, SQRT(SUMSQ(F7:F41)/(COUNT(F7:F41)*COUNT(F7:F41)) ), "—")</f>
        <v>0.38257623005268881</v>
      </c>
      <c r="G42" s="14">
        <f>IF(COUNT(G7:G41) &gt; 0, AVERAGE(G7:G41), "—")</f>
        <v>70.028661389999996</v>
      </c>
      <c r="H42" s="16">
        <f>IF(COUNT(H7:H41) &gt; 0, SQRT(SUMSQ(H7:H41)/(COUNT(H7:H41)*COUNT(H7:H41)) ), "—")</f>
        <v>0.38257623005268881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37.501211140000002</v>
      </c>
      <c r="F46" s="16">
        <v>1.6730402900000001</v>
      </c>
      <c r="G46" s="14">
        <v>62.498788859999998</v>
      </c>
      <c r="H46" s="16">
        <v>1.6730402900000001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37.351076079999999</v>
      </c>
      <c r="F47" s="16">
        <v>2.3384166799999999</v>
      </c>
      <c r="G47" s="14">
        <v>62.648923920000001</v>
      </c>
      <c r="H47" s="16">
        <v>2.3384166799999999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22.275078520000001</v>
      </c>
      <c r="F48" s="16">
        <v>2.1643690800000002</v>
      </c>
      <c r="G48" s="14">
        <v>77.724921480000006</v>
      </c>
      <c r="H48" s="16">
        <v>2.1643690800000002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29.087971880000001</v>
      </c>
      <c r="F50" s="16">
        <v>2.05909473</v>
      </c>
      <c r="G50" s="14">
        <v>70.912028120000002</v>
      </c>
      <c r="H50" s="16">
        <v>2.05909473</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17.62887302</v>
      </c>
      <c r="F51" s="16">
        <v>1.84290172</v>
      </c>
      <c r="G51" s="14">
        <v>82.37112698</v>
      </c>
      <c r="H51" s="16">
        <v>1.84290172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33.098872960000001</v>
      </c>
      <c r="F52" s="16">
        <v>2.54666857</v>
      </c>
      <c r="G52" s="14">
        <v>66.901127040000006</v>
      </c>
      <c r="H52" s="16">
        <v>2.54666857</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39.270114479999997</v>
      </c>
      <c r="F53" s="16">
        <v>2.1735873099999998</v>
      </c>
      <c r="G53" s="14">
        <v>60.729885520000003</v>
      </c>
      <c r="H53" s="16">
        <v>2.1735873099999998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24.598049360000001</v>
      </c>
      <c r="F56" s="16">
        <v>2.0465186700000002</v>
      </c>
      <c r="G56" s="14">
        <v>75.401950639999995</v>
      </c>
      <c r="H56" s="16">
        <v>2.0465186700000002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28.934179319999998</v>
      </c>
      <c r="F61" s="16">
        <v>2.31006475</v>
      </c>
      <c r="G61" s="14">
        <v>71.065820680000002</v>
      </c>
      <c r="H61" s="16">
        <v>2.31006475</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23.104902070000001</v>
      </c>
      <c r="F62" s="16">
        <v>2.2821181099999999</v>
      </c>
      <c r="G62" s="14">
        <v>76.895097930000006</v>
      </c>
      <c r="H62" s="16">
        <v>2.2821181099999999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37.510995559999998</v>
      </c>
      <c r="F66" s="16">
        <v>2.2756862199999999</v>
      </c>
      <c r="G66" s="14">
        <v>62.489004440000002</v>
      </c>
      <c r="H66" s="16">
        <v>2.2756862199999999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25.338954480000002</v>
      </c>
      <c r="F67" s="16">
        <v>1.9543038399999999</v>
      </c>
      <c r="G67" s="14">
        <v>74.661045520000002</v>
      </c>
      <c r="H67" s="16">
        <v>1.9543038399999999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31.81668088</v>
      </c>
      <c r="F70" s="16">
        <v>2.7398226800000001</v>
      </c>
      <c r="G70" s="14">
        <v>68.183319119999993</v>
      </c>
      <c r="H70" s="16">
        <v>2.7398226800000001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20.78146933</v>
      </c>
      <c r="F72" s="16">
        <v>1.51519789</v>
      </c>
      <c r="G72" s="14">
        <v>79.218530670000007</v>
      </c>
      <c r="H72" s="16">
        <v>1.51519789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47.49462612</v>
      </c>
      <c r="F73" s="16">
        <v>2.9299170800000001</v>
      </c>
      <c r="G73" s="14">
        <v>52.50537388</v>
      </c>
      <c r="H73" s="16">
        <v>2.9299170800000001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54.798070250000002</v>
      </c>
      <c r="F75" s="16">
        <v>2.52178937</v>
      </c>
      <c r="G75" s="14">
        <v>45.201929749999998</v>
      </c>
      <c r="H75" s="16">
        <v>2.52178937</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41.415895089999999</v>
      </c>
      <c r="F76" s="16">
        <v>1.50939337</v>
      </c>
      <c r="G76" s="14">
        <v>58.584104910000001</v>
      </c>
      <c r="H76" s="16">
        <v>1.50939337</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34.36462452</v>
      </c>
      <c r="F77" s="16">
        <v>2.2182642299999999</v>
      </c>
      <c r="G77" s="14">
        <v>65.635375479999993</v>
      </c>
      <c r="H77" s="16">
        <v>2.2182642299999999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42.405484270000002</v>
      </c>
      <c r="F81" s="16">
        <v>2.4858895200000002</v>
      </c>
      <c r="G81" s="14">
        <v>57.594515729999998</v>
      </c>
      <c r="H81" s="16">
        <v>2.4858895200000002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20.64263845</v>
      </c>
      <c r="F7" s="16">
        <v>1.2631256799999999</v>
      </c>
      <c r="G7" s="14">
        <v>79.357361549999993</v>
      </c>
      <c r="H7" s="16">
        <v>1.2631256799999999</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24.66737616</v>
      </c>
      <c r="F8" s="16">
        <v>2.1429768899999999</v>
      </c>
      <c r="G8" s="14">
        <v>75.332623839999997</v>
      </c>
      <c r="H8" s="16">
        <v>2.1429768899999999</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24.811742460000001</v>
      </c>
      <c r="F9" s="16">
        <v>1.6477936200000001</v>
      </c>
      <c r="G9" s="14">
        <v>75.188257539999995</v>
      </c>
      <c r="H9" s="16">
        <v>1.6477936200000001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16.46938789</v>
      </c>
      <c r="F10" s="16">
        <v>1.33686327</v>
      </c>
      <c r="G10" s="14">
        <v>83.530612110000007</v>
      </c>
      <c r="H10" s="16">
        <v>1.33686327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36.96410461</v>
      </c>
      <c r="F11" s="16">
        <v>2.46306249</v>
      </c>
      <c r="G11" s="14">
        <v>63.03589539</v>
      </c>
      <c r="H11" s="16">
        <v>2.46306249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27.856915260000001</v>
      </c>
      <c r="F12" s="16">
        <v>2.03776168</v>
      </c>
      <c r="G12" s="14">
        <v>72.143084740000006</v>
      </c>
      <c r="H12" s="16">
        <v>2.03776168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16.330154960000002</v>
      </c>
      <c r="F13" s="16">
        <v>1.6790001000000001</v>
      </c>
      <c r="G13" s="14">
        <v>83.669845039999998</v>
      </c>
      <c r="H13" s="16">
        <v>1.6790001000000001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17.702806989999999</v>
      </c>
      <c r="F14" s="16">
        <v>2.17137271</v>
      </c>
      <c r="G14" s="14">
        <v>82.297193010000001</v>
      </c>
      <c r="H14" s="16">
        <v>2.17137271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20.610368919999999</v>
      </c>
      <c r="F15" s="16">
        <v>1.77010026</v>
      </c>
      <c r="G15" s="14">
        <v>79.389631080000001</v>
      </c>
      <c r="H15" s="16">
        <v>1.77010026</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24.671463760000002</v>
      </c>
      <c r="F16" s="16">
        <v>1.98500174</v>
      </c>
      <c r="G16" s="14">
        <v>75.328536240000005</v>
      </c>
      <c r="H16" s="16">
        <v>1.98500174</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20.16241054</v>
      </c>
      <c r="F17" s="16">
        <v>1.84570353</v>
      </c>
      <c r="G17" s="14">
        <v>79.837589460000004</v>
      </c>
      <c r="H17" s="16">
        <v>1.84570353</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35.576699840000003</v>
      </c>
      <c r="F18" s="16">
        <v>2.4197925699999998</v>
      </c>
      <c r="G18" s="14">
        <v>64.423300159999997</v>
      </c>
      <c r="H18" s="16">
        <v>2.4197925699999998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28.762000140000001</v>
      </c>
      <c r="F19" s="16">
        <v>2.1034033499999998</v>
      </c>
      <c r="G19" s="14">
        <v>71.237999860000002</v>
      </c>
      <c r="H19" s="16">
        <v>2.1034033499999998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26.583806970000001</v>
      </c>
      <c r="F20" s="16">
        <v>3.0289808699999998</v>
      </c>
      <c r="G20" s="14">
        <v>73.416193030000002</v>
      </c>
      <c r="H20" s="16">
        <v>3.0289808699999998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28.484853940000001</v>
      </c>
      <c r="F22" s="16">
        <v>2.28270587</v>
      </c>
      <c r="G22" s="14">
        <v>71.515146060000006</v>
      </c>
      <c r="H22" s="16">
        <v>2.28270587</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38.834282440000003</v>
      </c>
      <c r="F23" s="16">
        <v>2.1104206200000002</v>
      </c>
      <c r="G23" s="14">
        <v>61.165717559999997</v>
      </c>
      <c r="H23" s="16">
        <v>2.1104206200000002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16.954587719999999</v>
      </c>
      <c r="F24" s="16">
        <v>1.93932832</v>
      </c>
      <c r="G24" s="14">
        <v>83.045412279999994</v>
      </c>
      <c r="H24" s="16">
        <v>1.93932832</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19.874627830000001</v>
      </c>
      <c r="F25" s="16">
        <v>1.6276754899999999</v>
      </c>
      <c r="G25" s="14">
        <v>80.125372170000006</v>
      </c>
      <c r="H25" s="16">
        <v>1.6276754899999999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29.040114370000001</v>
      </c>
      <c r="F26" s="16">
        <v>2.34417695</v>
      </c>
      <c r="G26" s="14">
        <v>70.959885630000002</v>
      </c>
      <c r="H26" s="16">
        <v>2.34417695</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35.123095579999998</v>
      </c>
      <c r="F27" s="16">
        <v>2.3788121000000002</v>
      </c>
      <c r="G27" s="14">
        <v>64.876904420000002</v>
      </c>
      <c r="H27" s="16">
        <v>2.3788121000000002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37.494163059999998</v>
      </c>
      <c r="F28" s="16">
        <v>2.4912563300000001</v>
      </c>
      <c r="G28" s="14">
        <v>62.505836940000002</v>
      </c>
      <c r="H28" s="16">
        <v>2.4912563300000001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19.266249940000002</v>
      </c>
      <c r="F29" s="16">
        <v>1.9148337600000001</v>
      </c>
      <c r="G29" s="14">
        <v>80.733750060000006</v>
      </c>
      <c r="H29" s="16">
        <v>1.9148337600000001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19.834703489999999</v>
      </c>
      <c r="F30" s="16">
        <v>2.1635757</v>
      </c>
      <c r="G30" s="14">
        <v>80.165296510000005</v>
      </c>
      <c r="H30" s="16">
        <v>2.1635757</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27.52168198</v>
      </c>
      <c r="F31" s="16">
        <v>2.1386216199999999</v>
      </c>
      <c r="G31" s="14">
        <v>72.478318020000003</v>
      </c>
      <c r="H31" s="16">
        <v>2.1386216199999999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24.065897419999999</v>
      </c>
      <c r="F33" s="16">
        <v>2.0267142499999999</v>
      </c>
      <c r="G33" s="14">
        <v>75.934102580000001</v>
      </c>
      <c r="H33" s="16">
        <v>2.0267142499999999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33.913410480000003</v>
      </c>
      <c r="F34" s="16">
        <v>2.4359576500000002</v>
      </c>
      <c r="G34" s="14">
        <v>66.086589520000004</v>
      </c>
      <c r="H34" s="16">
        <v>2.4359576500000002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29.663011950000001</v>
      </c>
      <c r="F35" s="16">
        <v>2.0707576799999998</v>
      </c>
      <c r="G35" s="14">
        <v>70.336988050000002</v>
      </c>
      <c r="H35" s="16">
        <v>2.0707576799999998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27.828801500000001</v>
      </c>
      <c r="F36" s="16">
        <v>2.2116118</v>
      </c>
      <c r="G36" s="14">
        <v>72.171198500000003</v>
      </c>
      <c r="H36" s="16">
        <v>2.2116118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23.781767680000002</v>
      </c>
      <c r="F37" s="16">
        <v>1.9517979700000001</v>
      </c>
      <c r="G37" s="14">
        <v>76.218232319999998</v>
      </c>
      <c r="H37" s="16">
        <v>1.9517979700000001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48.330563259999998</v>
      </c>
      <c r="F39" s="16">
        <v>2.22108076</v>
      </c>
      <c r="G39" s="14">
        <v>51.669436740000002</v>
      </c>
      <c r="H39" s="16">
        <v>2.22108076</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19.004007189999999</v>
      </c>
      <c r="F40" s="16">
        <v>1.7688322400000001</v>
      </c>
      <c r="G40" s="14">
        <v>80.995992810000004</v>
      </c>
      <c r="H40" s="16">
        <v>1.7688322400000001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17.013634379999999</v>
      </c>
      <c r="F41" s="16">
        <v>1.9181907899999999</v>
      </c>
      <c r="G41" s="14">
        <v>82.986365620000001</v>
      </c>
      <c r="H41" s="16">
        <v>1.9181907899999999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26.182541598750007</v>
      </c>
      <c r="F42" s="16">
        <f>IF(COUNT(F7:F41) &gt; 0, SQRT(SUMSQ(F7:F41)/(COUNT(F7:F41)*COUNT(F7:F41)) ), "—")</f>
        <v>0.36910215759311171</v>
      </c>
      <c r="G42" s="14">
        <f>IF(COUNT(G7:G41) &gt; 0, AVERAGE(G7:G41), "—")</f>
        <v>73.817458401249993</v>
      </c>
      <c r="H42" s="16">
        <f>IF(COUNT(H7:H41) &gt; 0, SQRT(SUMSQ(H7:H41)/(COUNT(H7:H41)*COUNT(H7:H41)) ), "—")</f>
        <v>0.36910215759311171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43.047133530000004</v>
      </c>
      <c r="F46" s="16">
        <v>1.91245585</v>
      </c>
      <c r="G46" s="14">
        <v>56.952866469999996</v>
      </c>
      <c r="H46" s="16">
        <v>1.91245585</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42.969776469999999</v>
      </c>
      <c r="F47" s="16">
        <v>2.4139762199999999</v>
      </c>
      <c r="G47" s="14">
        <v>57.030223530000001</v>
      </c>
      <c r="H47" s="16">
        <v>2.4139762199999999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26.610043520000001</v>
      </c>
      <c r="F48" s="16">
        <v>2.0828593199999998</v>
      </c>
      <c r="G48" s="14">
        <v>73.389956479999995</v>
      </c>
      <c r="H48" s="16">
        <v>2.0828593199999998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42.06899009</v>
      </c>
      <c r="F50" s="16">
        <v>2.4695415500000002</v>
      </c>
      <c r="G50" s="14">
        <v>57.93100991</v>
      </c>
      <c r="H50" s="16">
        <v>2.4695415500000002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39.996767910000003</v>
      </c>
      <c r="F51" s="16">
        <v>2.7337496300000002</v>
      </c>
      <c r="G51" s="14">
        <v>60.003232089999997</v>
      </c>
      <c r="H51" s="16">
        <v>2.7337496300000002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29.438715210000002</v>
      </c>
      <c r="F52" s="16">
        <v>1.6108856600000001</v>
      </c>
      <c r="G52" s="14">
        <v>70.561284790000002</v>
      </c>
      <c r="H52" s="16">
        <v>1.6108856600000001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45.789821060000001</v>
      </c>
      <c r="F53" s="16">
        <v>1.8522432</v>
      </c>
      <c r="G53" s="14">
        <v>54.210178939999999</v>
      </c>
      <c r="H53" s="16">
        <v>1.8522432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18.53832641</v>
      </c>
      <c r="F56" s="16">
        <v>1.79475133</v>
      </c>
      <c r="G56" s="14">
        <v>81.461673590000004</v>
      </c>
      <c r="H56" s="16">
        <v>1.79475133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31.845495679999999</v>
      </c>
      <c r="F61" s="16">
        <v>2.1062228599999999</v>
      </c>
      <c r="G61" s="14">
        <v>68.154504320000001</v>
      </c>
      <c r="H61" s="16">
        <v>2.1062228599999999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25.588648769999999</v>
      </c>
      <c r="F62" s="16">
        <v>2.24405089</v>
      </c>
      <c r="G62" s="14">
        <v>74.411351229999994</v>
      </c>
      <c r="H62" s="16">
        <v>2.24405089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47.51923583</v>
      </c>
      <c r="F66" s="16">
        <v>2.1212876399999998</v>
      </c>
      <c r="G66" s="14">
        <v>52.48076417</v>
      </c>
      <c r="H66" s="16">
        <v>2.1212876399999998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45.728909209999998</v>
      </c>
      <c r="F67" s="16">
        <v>2.2252151900000001</v>
      </c>
      <c r="G67" s="14">
        <v>54.271090790000002</v>
      </c>
      <c r="H67" s="16">
        <v>2.2252151900000001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29.158370529999999</v>
      </c>
      <c r="F70" s="16">
        <v>3.0765754799999998</v>
      </c>
      <c r="G70" s="14">
        <v>70.841629470000001</v>
      </c>
      <c r="H70" s="16">
        <v>3.0765754799999998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17.451272849999999</v>
      </c>
      <c r="F72" s="16">
        <v>1.3475639399999999</v>
      </c>
      <c r="G72" s="14">
        <v>82.548727150000005</v>
      </c>
      <c r="H72" s="16">
        <v>1.3475639399999999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53.353684979999997</v>
      </c>
      <c r="F73" s="16">
        <v>2.8621209200000002</v>
      </c>
      <c r="G73" s="14">
        <v>46.646315020000003</v>
      </c>
      <c r="H73" s="16">
        <v>2.8621209200000002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46.202404600000001</v>
      </c>
      <c r="F75" s="16">
        <v>2.8042348600000002</v>
      </c>
      <c r="G75" s="14">
        <v>53.797595399999999</v>
      </c>
      <c r="H75" s="16">
        <v>2.8042348600000002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46.610470120000002</v>
      </c>
      <c r="F76" s="16">
        <v>1.75899596</v>
      </c>
      <c r="G76" s="14">
        <v>53.389529879999998</v>
      </c>
      <c r="H76" s="16">
        <v>1.75899596</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41.244010070000002</v>
      </c>
      <c r="F77" s="16">
        <v>2.32362694</v>
      </c>
      <c r="G77" s="14">
        <v>58.755989929999998</v>
      </c>
      <c r="H77" s="16">
        <v>2.32362694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53.584815050000003</v>
      </c>
      <c r="F81" s="16">
        <v>2.38399999</v>
      </c>
      <c r="G81" s="14">
        <v>46.415184949999997</v>
      </c>
      <c r="H81" s="16">
        <v>2.38399999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47.3812584</v>
      </c>
      <c r="F7" s="16">
        <v>1.7351462</v>
      </c>
      <c r="G7" s="14">
        <v>52.6187416</v>
      </c>
      <c r="H7" s="16">
        <v>1.7351462</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51.291805199999999</v>
      </c>
      <c r="F8" s="16">
        <v>2.0937070100000001</v>
      </c>
      <c r="G8" s="14">
        <v>48.708194800000001</v>
      </c>
      <c r="H8" s="16">
        <v>2.0937070100000001</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51.882676320000002</v>
      </c>
      <c r="F9" s="16">
        <v>1.7759019700000001</v>
      </c>
      <c r="G9" s="14">
        <v>48.117323679999998</v>
      </c>
      <c r="H9" s="16">
        <v>1.7759019700000001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49.977288659999999</v>
      </c>
      <c r="F10" s="16">
        <v>1.6259073799999999</v>
      </c>
      <c r="G10" s="14">
        <v>50.022711340000001</v>
      </c>
      <c r="H10" s="16">
        <v>1.6259073799999999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55.122383329999998</v>
      </c>
      <c r="F11" s="16">
        <v>2.32851535</v>
      </c>
      <c r="G11" s="14">
        <v>44.877616670000002</v>
      </c>
      <c r="H11" s="16">
        <v>2.32851535</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57.643099839999998</v>
      </c>
      <c r="F12" s="16">
        <v>2.49503612</v>
      </c>
      <c r="G12" s="14">
        <v>42.356900160000002</v>
      </c>
      <c r="H12" s="16">
        <v>2.49503612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49.415321669999997</v>
      </c>
      <c r="F13" s="16">
        <v>2.79633333</v>
      </c>
      <c r="G13" s="14">
        <v>50.584678330000003</v>
      </c>
      <c r="H13" s="16">
        <v>2.79633333</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46.913895410000002</v>
      </c>
      <c r="F14" s="16">
        <v>2.5024176900000001</v>
      </c>
      <c r="G14" s="14">
        <v>53.086104589999998</v>
      </c>
      <c r="H14" s="16">
        <v>2.5024176900000001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52.655211420000001</v>
      </c>
      <c r="F15" s="16">
        <v>2.22802699</v>
      </c>
      <c r="G15" s="14">
        <v>47.344788579999999</v>
      </c>
      <c r="H15" s="16">
        <v>2.22802699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50.50244867</v>
      </c>
      <c r="F16" s="16">
        <v>2.3690724900000002</v>
      </c>
      <c r="G16" s="14">
        <v>49.49755133</v>
      </c>
      <c r="H16" s="16">
        <v>2.3690724900000002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51.422661959999999</v>
      </c>
      <c r="F17" s="16">
        <v>2.1430243299999998</v>
      </c>
      <c r="G17" s="14">
        <v>48.577338040000001</v>
      </c>
      <c r="H17" s="16">
        <v>2.1430243299999998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64.183206519999999</v>
      </c>
      <c r="F18" s="16">
        <v>2.48092829</v>
      </c>
      <c r="G18" s="14">
        <v>35.816793480000001</v>
      </c>
      <c r="H18" s="16">
        <v>2.48092829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60.748389469999999</v>
      </c>
      <c r="F19" s="16">
        <v>2.2059642400000001</v>
      </c>
      <c r="G19" s="14">
        <v>39.251610530000001</v>
      </c>
      <c r="H19" s="16">
        <v>2.2059642400000001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57.933376000000003</v>
      </c>
      <c r="F20" s="16">
        <v>2.8985671900000001</v>
      </c>
      <c r="G20" s="14">
        <v>42.066623999999997</v>
      </c>
      <c r="H20" s="16">
        <v>2.8985671900000001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64.423450399999993</v>
      </c>
      <c r="F22" s="16">
        <v>2.8166707899999999</v>
      </c>
      <c r="G22" s="14">
        <v>35.5765496</v>
      </c>
      <c r="H22" s="16">
        <v>2.8166707899999999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52.260058720000004</v>
      </c>
      <c r="F23" s="16">
        <v>2.1321036900000001</v>
      </c>
      <c r="G23" s="14">
        <v>47.739941279999996</v>
      </c>
      <c r="H23" s="16">
        <v>2.1321036900000001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38.295576390000001</v>
      </c>
      <c r="F24" s="16">
        <v>1.9809687</v>
      </c>
      <c r="G24" s="14">
        <v>61.704423609999999</v>
      </c>
      <c r="H24" s="16">
        <v>1.9809687</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34.965840020000002</v>
      </c>
      <c r="F25" s="16">
        <v>2.2220027</v>
      </c>
      <c r="G25" s="14">
        <v>65.034159979999998</v>
      </c>
      <c r="H25" s="16">
        <v>2.2220027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59.540854500000002</v>
      </c>
      <c r="F26" s="16">
        <v>2.4557977700000002</v>
      </c>
      <c r="G26" s="14">
        <v>40.459145499999998</v>
      </c>
      <c r="H26" s="16">
        <v>2.4557977700000002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56.938957989999999</v>
      </c>
      <c r="F27" s="16">
        <v>2.18383707</v>
      </c>
      <c r="G27" s="14">
        <v>43.061042010000001</v>
      </c>
      <c r="H27" s="16">
        <v>2.18383707</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66.317885559999993</v>
      </c>
      <c r="F28" s="16">
        <v>2.3170530600000001</v>
      </c>
      <c r="G28" s="14">
        <v>33.682114439999999</v>
      </c>
      <c r="H28" s="16">
        <v>2.3170530600000001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47.706016949999999</v>
      </c>
      <c r="F29" s="16">
        <v>2.1507076899999999</v>
      </c>
      <c r="G29" s="14">
        <v>52.293983050000001</v>
      </c>
      <c r="H29" s="16">
        <v>2.1507076899999999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51.524946559999997</v>
      </c>
      <c r="F30" s="16">
        <v>2.7710210100000001</v>
      </c>
      <c r="G30" s="14">
        <v>48.475053440000003</v>
      </c>
      <c r="H30" s="16">
        <v>2.7710210100000001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52.292250780000003</v>
      </c>
      <c r="F31" s="16">
        <v>2.14793557</v>
      </c>
      <c r="G31" s="14">
        <v>47.707749219999997</v>
      </c>
      <c r="H31" s="16">
        <v>2.14793557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51.593370370000002</v>
      </c>
      <c r="F33" s="16">
        <v>2.55403797</v>
      </c>
      <c r="G33" s="14">
        <v>48.406629629999998</v>
      </c>
      <c r="H33" s="16">
        <v>2.55403797</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62.299387350000003</v>
      </c>
      <c r="F34" s="16">
        <v>2.2816593300000001</v>
      </c>
      <c r="G34" s="14">
        <v>37.700612649999997</v>
      </c>
      <c r="H34" s="16">
        <v>2.2816593300000001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51.055747050000001</v>
      </c>
      <c r="F35" s="16">
        <v>2.7073268000000001</v>
      </c>
      <c r="G35" s="14">
        <v>48.944252949999999</v>
      </c>
      <c r="H35" s="16">
        <v>2.7073268000000001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48.99003776</v>
      </c>
      <c r="F36" s="16">
        <v>2.2427967899999999</v>
      </c>
      <c r="G36" s="14">
        <v>51.00996224</v>
      </c>
      <c r="H36" s="16">
        <v>2.2427967899999999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48.453605639999999</v>
      </c>
      <c r="F37" s="16">
        <v>2.32528004</v>
      </c>
      <c r="G37" s="14">
        <v>51.546394360000001</v>
      </c>
      <c r="H37" s="16">
        <v>2.32528004</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69.363046139999994</v>
      </c>
      <c r="F39" s="16">
        <v>2.1553595200000002</v>
      </c>
      <c r="G39" s="14">
        <v>30.636953859999998</v>
      </c>
      <c r="H39" s="16">
        <v>2.1553595200000002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46.302904259999998</v>
      </c>
      <c r="F40" s="16">
        <v>2.2148231599999999</v>
      </c>
      <c r="G40" s="14">
        <v>53.697095740000002</v>
      </c>
      <c r="H40" s="16">
        <v>2.2148231599999999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51.115652189999999</v>
      </c>
      <c r="F41" s="16">
        <v>2.5368551500000001</v>
      </c>
      <c r="G41" s="14">
        <v>48.884347810000001</v>
      </c>
      <c r="H41" s="16">
        <v>2.5368551500000001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53.141019109374994</v>
      </c>
      <c r="F42" s="16">
        <f>IF(COUNT(F7:F41) &gt; 0, SQRT(SUMSQ(F7:F41)/(COUNT(F7:F41)*COUNT(F7:F41)) ), "—")</f>
        <v>0.41153134473187147</v>
      </c>
      <c r="G42" s="14">
        <f>IF(COUNT(G7:G41) &gt; 0, AVERAGE(G7:G41), "—")</f>
        <v>46.858980890625006</v>
      </c>
      <c r="H42" s="16">
        <f>IF(COUNT(H7:H41) &gt; 0, SQRT(SUMSQ(H7:H41)/(COUNT(H7:H41)*COUNT(H7:H41)) ), "—")</f>
        <v>0.41153134473187147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64.497926539999995</v>
      </c>
      <c r="F46" s="16">
        <v>2.0558144700000001</v>
      </c>
      <c r="G46" s="14">
        <v>35.502073459999998</v>
      </c>
      <c r="H46" s="16">
        <v>2.0558144700000001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63.402684720000003</v>
      </c>
      <c r="F47" s="16">
        <v>2.2798548900000002</v>
      </c>
      <c r="G47" s="14">
        <v>36.597315279999997</v>
      </c>
      <c r="H47" s="16">
        <v>2.2798548900000002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52.360124550000002</v>
      </c>
      <c r="F48" s="16">
        <v>2.1434773499999999</v>
      </c>
      <c r="G48" s="14">
        <v>47.639875449999998</v>
      </c>
      <c r="H48" s="16">
        <v>2.1434773499999999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57.430935789999999</v>
      </c>
      <c r="F50" s="16">
        <v>2.2768851099999998</v>
      </c>
      <c r="G50" s="14">
        <v>42.569064210000001</v>
      </c>
      <c r="H50" s="16">
        <v>2.2768851099999998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56.297954900000001</v>
      </c>
      <c r="F51" s="16">
        <v>2.6825676899999999</v>
      </c>
      <c r="G51" s="14">
        <v>43.702045099999999</v>
      </c>
      <c r="H51" s="16">
        <v>2.6825676899999999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60.695467450000002</v>
      </c>
      <c r="F52" s="16">
        <v>2.57878221</v>
      </c>
      <c r="G52" s="14">
        <v>39.304532549999998</v>
      </c>
      <c r="H52" s="16">
        <v>2.57878221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64.25748093</v>
      </c>
      <c r="F53" s="16">
        <v>2.1040190700000001</v>
      </c>
      <c r="G53" s="14">
        <v>35.74251907</v>
      </c>
      <c r="H53" s="16">
        <v>2.1040190700000001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37.212546119999999</v>
      </c>
      <c r="F56" s="16">
        <v>2.2925585700000002</v>
      </c>
      <c r="G56" s="14">
        <v>62.787453880000001</v>
      </c>
      <c r="H56" s="16">
        <v>2.2925585700000002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61.932016879999999</v>
      </c>
      <c r="F61" s="16">
        <v>2.2976281300000001</v>
      </c>
      <c r="G61" s="14">
        <v>38.067983120000001</v>
      </c>
      <c r="H61" s="16">
        <v>2.2976281300000001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42.647125350000003</v>
      </c>
      <c r="F62" s="16">
        <v>2.4392752899999999</v>
      </c>
      <c r="G62" s="14">
        <v>57.352874649999997</v>
      </c>
      <c r="H62" s="16">
        <v>2.4392752899999999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67.169721280000005</v>
      </c>
      <c r="F66" s="16">
        <v>2.3904844700000001</v>
      </c>
      <c r="G66" s="14">
        <v>32.830278720000003</v>
      </c>
      <c r="H66" s="16">
        <v>2.3904844700000001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63.033596520000003</v>
      </c>
      <c r="F67" s="16">
        <v>2.4861441000000002</v>
      </c>
      <c r="G67" s="14">
        <v>36.966403479999997</v>
      </c>
      <c r="H67" s="16">
        <v>2.4861441000000002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60.160231879999998</v>
      </c>
      <c r="F70" s="16">
        <v>3.02232762</v>
      </c>
      <c r="G70" s="14">
        <v>39.839768120000002</v>
      </c>
      <c r="H70" s="16">
        <v>3.02232762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42.780327530000001</v>
      </c>
      <c r="F72" s="16">
        <v>1.9446023100000001</v>
      </c>
      <c r="G72" s="14">
        <v>57.219672469999999</v>
      </c>
      <c r="H72" s="16">
        <v>1.9446023100000001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68.004712240000003</v>
      </c>
      <c r="F73" s="16">
        <v>2.4146301800000001</v>
      </c>
      <c r="G73" s="14">
        <v>31.99528776</v>
      </c>
      <c r="H73" s="16">
        <v>2.4146301800000001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83.57968554</v>
      </c>
      <c r="F75" s="16">
        <v>1.9733480299999999</v>
      </c>
      <c r="G75" s="14">
        <v>16.42031446</v>
      </c>
      <c r="H75" s="16">
        <v>1.9733480299999999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68.171304570000004</v>
      </c>
      <c r="F76" s="16">
        <v>2.0175402400000002</v>
      </c>
      <c r="G76" s="14">
        <v>31.82869543</v>
      </c>
      <c r="H76" s="16">
        <v>2.0175402400000002</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61.331107330000002</v>
      </c>
      <c r="F77" s="16">
        <v>2.1352950100000001</v>
      </c>
      <c r="G77" s="14">
        <v>38.668892669999998</v>
      </c>
      <c r="H77" s="16">
        <v>2.1352950100000001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61.6924566</v>
      </c>
      <c r="F81" s="16">
        <v>2.3873873200000002</v>
      </c>
      <c r="G81" s="14">
        <v>38.3075434</v>
      </c>
      <c r="H81" s="16">
        <v>2.3873873200000002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45.255289130000001</v>
      </c>
      <c r="F7" s="16">
        <v>1.7697115000000001</v>
      </c>
      <c r="G7" s="14">
        <v>54.744710869999999</v>
      </c>
      <c r="H7" s="16">
        <v>1.7697115000000001</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39.811071400000003</v>
      </c>
      <c r="F8" s="16">
        <v>1.85672416</v>
      </c>
      <c r="G8" s="14">
        <v>60.188928599999997</v>
      </c>
      <c r="H8" s="16">
        <v>1.85672416</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44.40830253</v>
      </c>
      <c r="F9" s="16">
        <v>1.8918798999999999</v>
      </c>
      <c r="G9" s="14">
        <v>55.59169747</v>
      </c>
      <c r="H9" s="16">
        <v>1.8918798999999999</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40.593770749999997</v>
      </c>
      <c r="F10" s="16">
        <v>1.6831160700000001</v>
      </c>
      <c r="G10" s="14">
        <v>59.406229250000003</v>
      </c>
      <c r="H10" s="16">
        <v>1.6831160700000001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47.994318870000001</v>
      </c>
      <c r="F11" s="16">
        <v>2.5538242800000002</v>
      </c>
      <c r="G11" s="14">
        <v>52.005681129999999</v>
      </c>
      <c r="H11" s="16">
        <v>2.5538242800000002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44.257537470000003</v>
      </c>
      <c r="F12" s="16">
        <v>2.10605179</v>
      </c>
      <c r="G12" s="14">
        <v>55.742462529999997</v>
      </c>
      <c r="H12" s="16">
        <v>2.10605179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46.398197330000002</v>
      </c>
      <c r="F13" s="16">
        <v>2.3349797300000001</v>
      </c>
      <c r="G13" s="14">
        <v>53.601802669999998</v>
      </c>
      <c r="H13" s="16">
        <v>2.3349797300000001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27.73533085</v>
      </c>
      <c r="F14" s="16">
        <v>1.9835961499999999</v>
      </c>
      <c r="G14" s="14">
        <v>72.264669150000003</v>
      </c>
      <c r="H14" s="16">
        <v>1.9835961499999999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38.782546009999997</v>
      </c>
      <c r="F15" s="16">
        <v>2.1651178500000001</v>
      </c>
      <c r="G15" s="14">
        <v>61.217453990000003</v>
      </c>
      <c r="H15" s="16">
        <v>2.1651178500000001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39.99585647</v>
      </c>
      <c r="F16" s="16">
        <v>2.5372492599999998</v>
      </c>
      <c r="G16" s="14">
        <v>60.00414353</v>
      </c>
      <c r="H16" s="16">
        <v>2.5372492599999998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38.676579689999997</v>
      </c>
      <c r="F17" s="16">
        <v>2.2302124800000001</v>
      </c>
      <c r="G17" s="14">
        <v>61.323420310000003</v>
      </c>
      <c r="H17" s="16">
        <v>2.2302124800000001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45.416924059999999</v>
      </c>
      <c r="F18" s="16">
        <v>2.3094707699999999</v>
      </c>
      <c r="G18" s="14">
        <v>54.583075940000001</v>
      </c>
      <c r="H18" s="16">
        <v>2.3094707699999999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51.600740199999997</v>
      </c>
      <c r="F19" s="16">
        <v>2.5148021200000001</v>
      </c>
      <c r="G19" s="14">
        <v>48.399259800000003</v>
      </c>
      <c r="H19" s="16">
        <v>2.5148021200000001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41.597886780000003</v>
      </c>
      <c r="F20" s="16">
        <v>3.4266721499999999</v>
      </c>
      <c r="G20" s="14">
        <v>58.402113219999997</v>
      </c>
      <c r="H20" s="16">
        <v>3.4266721499999999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44.603887489999998</v>
      </c>
      <c r="F22" s="16">
        <v>2.2490975999999998</v>
      </c>
      <c r="G22" s="14">
        <v>55.396112510000002</v>
      </c>
      <c r="H22" s="16">
        <v>2.2490975999999998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49.594006469999997</v>
      </c>
      <c r="F23" s="16">
        <v>2.2143093199999999</v>
      </c>
      <c r="G23" s="14">
        <v>50.405993530000003</v>
      </c>
      <c r="H23" s="16">
        <v>2.2143093199999999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24.223766569999999</v>
      </c>
      <c r="F24" s="16">
        <v>2.0065248699999998</v>
      </c>
      <c r="G24" s="14">
        <v>75.776233430000005</v>
      </c>
      <c r="H24" s="16">
        <v>2.0065248699999998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23.974997819999999</v>
      </c>
      <c r="F25" s="16">
        <v>2.2318976500000001</v>
      </c>
      <c r="G25" s="14">
        <v>76.025002180000001</v>
      </c>
      <c r="H25" s="16">
        <v>2.2318976500000001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45.398626139999998</v>
      </c>
      <c r="F26" s="16">
        <v>2.7498902300000001</v>
      </c>
      <c r="G26" s="14">
        <v>54.601373860000002</v>
      </c>
      <c r="H26" s="16">
        <v>2.7498902300000001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39.32462872</v>
      </c>
      <c r="F27" s="16">
        <v>2.41053601</v>
      </c>
      <c r="G27" s="14">
        <v>60.67537128</v>
      </c>
      <c r="H27" s="16">
        <v>2.41053601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47.16015694</v>
      </c>
      <c r="F28" s="16">
        <v>2.1714284799999999</v>
      </c>
      <c r="G28" s="14">
        <v>52.83984306</v>
      </c>
      <c r="H28" s="16">
        <v>2.1714284799999999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40.352908990000003</v>
      </c>
      <c r="F29" s="16">
        <v>1.9898257500000001</v>
      </c>
      <c r="G29" s="14">
        <v>59.647091009999997</v>
      </c>
      <c r="H29" s="16">
        <v>1.9898257500000001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35.69667536</v>
      </c>
      <c r="F30" s="16">
        <v>2.5170694899999999</v>
      </c>
      <c r="G30" s="14">
        <v>64.30332464</v>
      </c>
      <c r="H30" s="16">
        <v>2.5170694899999999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46.824419069999998</v>
      </c>
      <c r="F31" s="16">
        <v>2.3188397900000002</v>
      </c>
      <c r="G31" s="14">
        <v>53.175580930000002</v>
      </c>
      <c r="H31" s="16">
        <v>2.3188397900000002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44.262710439999999</v>
      </c>
      <c r="F33" s="16">
        <v>2.6807867299999999</v>
      </c>
      <c r="G33" s="14">
        <v>55.737289560000001</v>
      </c>
      <c r="H33" s="16">
        <v>2.6807867299999999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54.177105220000001</v>
      </c>
      <c r="F34" s="16">
        <v>2.0617488499999999</v>
      </c>
      <c r="G34" s="14">
        <v>45.822894779999999</v>
      </c>
      <c r="H34" s="16">
        <v>2.0617488499999999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44.756470980000003</v>
      </c>
      <c r="F35" s="16">
        <v>2.2735072199999999</v>
      </c>
      <c r="G35" s="14">
        <v>55.243529019999997</v>
      </c>
      <c r="H35" s="16">
        <v>2.2735072199999999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40.898926209999999</v>
      </c>
      <c r="F36" s="16">
        <v>2.0560260499999998</v>
      </c>
      <c r="G36" s="14">
        <v>59.101073790000001</v>
      </c>
      <c r="H36" s="16">
        <v>2.0560260499999998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49.217694360000003</v>
      </c>
      <c r="F37" s="16">
        <v>2.6927723800000001</v>
      </c>
      <c r="G37" s="14">
        <v>50.782305639999997</v>
      </c>
      <c r="H37" s="16">
        <v>2.6927723800000001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48.220440349999997</v>
      </c>
      <c r="F39" s="16">
        <v>2.5992340600000001</v>
      </c>
      <c r="G39" s="14">
        <v>51.779559650000003</v>
      </c>
      <c r="H39" s="16">
        <v>2.5992340600000001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44.2425712</v>
      </c>
      <c r="F40" s="16">
        <v>1.9451867700000001</v>
      </c>
      <c r="G40" s="14">
        <v>55.7574288</v>
      </c>
      <c r="H40" s="16">
        <v>1.9451867700000001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36.205422239999997</v>
      </c>
      <c r="F41" s="16">
        <v>2.1968737900000002</v>
      </c>
      <c r="G41" s="14">
        <v>63.794577760000003</v>
      </c>
      <c r="H41" s="16">
        <v>2.1968737900000002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42.239367690937485</v>
      </c>
      <c r="F42" s="16">
        <f>IF(COUNT(F7:F41) &gt; 0, SQRT(SUMSQ(F7:F41)/(COUNT(F7:F41)*COUNT(F7:F41)) ), "—")</f>
        <v>0.40626711973006374</v>
      </c>
      <c r="G42" s="14">
        <f>IF(COUNT(G7:G41) &gt; 0, AVERAGE(G7:G41), "—")</f>
        <v>57.760632309062508</v>
      </c>
      <c r="H42" s="16">
        <f>IF(COUNT(H7:H41) &gt; 0, SQRT(SUMSQ(H7:H41)/(COUNT(H7:H41)*COUNT(H7:H41)) ), "—")</f>
        <v>0.40626711973006374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49.976394089999999</v>
      </c>
      <c r="F46" s="16">
        <v>1.6929833299999999</v>
      </c>
      <c r="G46" s="14">
        <v>50.023605910000001</v>
      </c>
      <c r="H46" s="16">
        <v>1.6929833299999999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51.364652749999998</v>
      </c>
      <c r="F47" s="16">
        <v>2.1114490300000002</v>
      </c>
      <c r="G47" s="14">
        <v>48.635347250000002</v>
      </c>
      <c r="H47" s="16">
        <v>2.1114490300000002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27.917875389999999</v>
      </c>
      <c r="F48" s="16">
        <v>2.1684140300000001</v>
      </c>
      <c r="G48" s="14">
        <v>72.082124609999994</v>
      </c>
      <c r="H48" s="16">
        <v>2.1684140300000001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45.914517230000001</v>
      </c>
      <c r="F50" s="16">
        <v>2.1963402699999999</v>
      </c>
      <c r="G50" s="14">
        <v>54.085482769999999</v>
      </c>
      <c r="H50" s="16">
        <v>2.1963402699999999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50.465605500000002</v>
      </c>
      <c r="F51" s="16">
        <v>2.6395678899999999</v>
      </c>
      <c r="G51" s="14">
        <v>49.534394499999998</v>
      </c>
      <c r="H51" s="16">
        <v>2.6395678899999999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45.576531760000002</v>
      </c>
      <c r="F52" s="16">
        <v>2.6450608</v>
      </c>
      <c r="G52" s="14">
        <v>54.423468239999998</v>
      </c>
      <c r="H52" s="16">
        <v>2.6450608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52.043895069999998</v>
      </c>
      <c r="F53" s="16">
        <v>2.3010424199999999</v>
      </c>
      <c r="G53" s="14">
        <v>47.956104930000002</v>
      </c>
      <c r="H53" s="16">
        <v>2.3010424199999999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19.15704148</v>
      </c>
      <c r="F56" s="16">
        <v>1.8484347699999999</v>
      </c>
      <c r="G56" s="14">
        <v>80.842958519999996</v>
      </c>
      <c r="H56" s="16">
        <v>1.8484347699999999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49.217727379999999</v>
      </c>
      <c r="F61" s="16">
        <v>2.51419156</v>
      </c>
      <c r="G61" s="14">
        <v>50.782272620000001</v>
      </c>
      <c r="H61" s="16">
        <v>2.51419156</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18.937510660000001</v>
      </c>
      <c r="F62" s="16">
        <v>2.2364960900000002</v>
      </c>
      <c r="G62" s="14">
        <v>81.062489339999999</v>
      </c>
      <c r="H62" s="16">
        <v>2.2364960900000002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61.381370660000002</v>
      </c>
      <c r="F66" s="16">
        <v>2.5946740099999999</v>
      </c>
      <c r="G66" s="14">
        <v>38.618629339999998</v>
      </c>
      <c r="H66" s="16">
        <v>2.5946740099999999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50.837018659999998</v>
      </c>
      <c r="F67" s="16">
        <v>2.4887020500000001</v>
      </c>
      <c r="G67" s="14">
        <v>49.162981340000002</v>
      </c>
      <c r="H67" s="16">
        <v>2.4887020500000001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41.868778910000003</v>
      </c>
      <c r="F70" s="16">
        <v>2.35431306</v>
      </c>
      <c r="G70" s="14">
        <v>58.131221089999997</v>
      </c>
      <c r="H70" s="16">
        <v>2.35431306</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16.341915119999999</v>
      </c>
      <c r="F72" s="16">
        <v>1.5209330299999999</v>
      </c>
      <c r="G72" s="14">
        <v>83.658084880000004</v>
      </c>
      <c r="H72" s="16">
        <v>1.5209330299999999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42.263790810000003</v>
      </c>
      <c r="F73" s="16">
        <v>2.8479883699999999</v>
      </c>
      <c r="G73" s="14">
        <v>57.736209189999997</v>
      </c>
      <c r="H73" s="16">
        <v>2.8479883699999999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61.974947</v>
      </c>
      <c r="F75" s="16">
        <v>2.94271357</v>
      </c>
      <c r="G75" s="14">
        <v>38.025053</v>
      </c>
      <c r="H75" s="16">
        <v>2.94271357</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49.33229686</v>
      </c>
      <c r="F76" s="16">
        <v>1.59589136</v>
      </c>
      <c r="G76" s="14">
        <v>50.66770314</v>
      </c>
      <c r="H76" s="16">
        <v>1.59589136</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52.34843833</v>
      </c>
      <c r="F77" s="16">
        <v>2.1932623599999999</v>
      </c>
      <c r="G77" s="14">
        <v>47.65156167</v>
      </c>
      <c r="H77" s="16">
        <v>2.1932623599999999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39.117663919999998</v>
      </c>
      <c r="F81" s="16">
        <v>2.38537664</v>
      </c>
      <c r="G81" s="14">
        <v>60.882336080000002</v>
      </c>
      <c r="H81" s="16">
        <v>2.38537664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36.551877949999998</v>
      </c>
      <c r="F7" s="16">
        <v>1.66624072</v>
      </c>
      <c r="G7" s="14">
        <v>63.448122050000002</v>
      </c>
      <c r="H7" s="16">
        <v>1.66624072</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33.22602466</v>
      </c>
      <c r="F8" s="16">
        <v>1.9390793799999999</v>
      </c>
      <c r="G8" s="14">
        <v>66.773975340000007</v>
      </c>
      <c r="H8" s="16">
        <v>1.9390793799999999</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34.059070370000001</v>
      </c>
      <c r="F9" s="16">
        <v>1.76116363</v>
      </c>
      <c r="G9" s="14">
        <v>65.940929629999999</v>
      </c>
      <c r="H9" s="16">
        <v>1.76116363</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35.669944289999997</v>
      </c>
      <c r="F10" s="16">
        <v>1.5374194999999999</v>
      </c>
      <c r="G10" s="14">
        <v>64.330055709999996</v>
      </c>
      <c r="H10" s="16">
        <v>1.5374194999999999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42.719269390000001</v>
      </c>
      <c r="F11" s="16">
        <v>2.42370697</v>
      </c>
      <c r="G11" s="14">
        <v>57.280730609999999</v>
      </c>
      <c r="H11" s="16">
        <v>2.42370697</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39.315906470000002</v>
      </c>
      <c r="F12" s="16">
        <v>2.4503080399999999</v>
      </c>
      <c r="G12" s="14">
        <v>60.684093529999998</v>
      </c>
      <c r="H12" s="16">
        <v>2.4503080399999999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38.627995349999999</v>
      </c>
      <c r="F13" s="16">
        <v>2.5669594099999999</v>
      </c>
      <c r="G13" s="14">
        <v>61.372004650000001</v>
      </c>
      <c r="H13" s="16">
        <v>2.5669594099999999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31.759650539999999</v>
      </c>
      <c r="F14" s="16">
        <v>2.1300284999999999</v>
      </c>
      <c r="G14" s="14">
        <v>68.240349460000004</v>
      </c>
      <c r="H14" s="16">
        <v>2.1300284999999999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37.244380380000003</v>
      </c>
      <c r="F15" s="16">
        <v>2.2313664800000002</v>
      </c>
      <c r="G15" s="14">
        <v>62.755619619999997</v>
      </c>
      <c r="H15" s="16">
        <v>2.2313664800000002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36.914605090000002</v>
      </c>
      <c r="F16" s="16">
        <v>2.1631499700000001</v>
      </c>
      <c r="G16" s="14">
        <v>63.085394909999998</v>
      </c>
      <c r="H16" s="16">
        <v>2.1631499700000001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29.685081220000001</v>
      </c>
      <c r="F17" s="16">
        <v>2.3290461499999999</v>
      </c>
      <c r="G17" s="14">
        <v>70.314918779999999</v>
      </c>
      <c r="H17" s="16">
        <v>2.3290461499999999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39.610587649999999</v>
      </c>
      <c r="F18" s="16">
        <v>2.28021363</v>
      </c>
      <c r="G18" s="14">
        <v>60.389412350000001</v>
      </c>
      <c r="H18" s="16">
        <v>2.28021363</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42.436871689999997</v>
      </c>
      <c r="F19" s="16">
        <v>2.4187332600000002</v>
      </c>
      <c r="G19" s="14">
        <v>57.563128310000003</v>
      </c>
      <c r="H19" s="16">
        <v>2.4187332600000002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38.026650420000003</v>
      </c>
      <c r="F20" s="16">
        <v>3.0349862999999999</v>
      </c>
      <c r="G20" s="14">
        <v>61.973349579999997</v>
      </c>
      <c r="H20" s="16">
        <v>3.0349862999999999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42.90364683</v>
      </c>
      <c r="F22" s="16">
        <v>2.3282803799999998</v>
      </c>
      <c r="G22" s="14">
        <v>57.09635317</v>
      </c>
      <c r="H22" s="16">
        <v>2.3282803799999998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42.277560229999999</v>
      </c>
      <c r="F23" s="16">
        <v>2.0601308</v>
      </c>
      <c r="G23" s="14">
        <v>57.722439770000001</v>
      </c>
      <c r="H23" s="16">
        <v>2.0601308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22.549034549999998</v>
      </c>
      <c r="F24" s="16">
        <v>1.9315113399999999</v>
      </c>
      <c r="G24" s="14">
        <v>77.450965449999998</v>
      </c>
      <c r="H24" s="16">
        <v>1.9315113399999999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29.543510149999999</v>
      </c>
      <c r="F25" s="16">
        <v>1.9583547299999999</v>
      </c>
      <c r="G25" s="14">
        <v>70.456489849999997</v>
      </c>
      <c r="H25" s="16">
        <v>1.9583547299999999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36.809343699999999</v>
      </c>
      <c r="F26" s="16">
        <v>2.55262294</v>
      </c>
      <c r="G26" s="14">
        <v>63.190656300000001</v>
      </c>
      <c r="H26" s="16">
        <v>2.55262294</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37.31271916</v>
      </c>
      <c r="F27" s="16">
        <v>2.4014228399999999</v>
      </c>
      <c r="G27" s="14">
        <v>62.68728084</v>
      </c>
      <c r="H27" s="16">
        <v>2.4014228399999999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41.658798230000002</v>
      </c>
      <c r="F28" s="16">
        <v>2.3629984400000001</v>
      </c>
      <c r="G28" s="14">
        <v>58.341201769999998</v>
      </c>
      <c r="H28" s="16">
        <v>2.3629984400000001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34.598310499999997</v>
      </c>
      <c r="F29" s="16">
        <v>2.3881330099999998</v>
      </c>
      <c r="G29" s="14">
        <v>65.401689500000003</v>
      </c>
      <c r="H29" s="16">
        <v>2.3881330099999998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38.789421079999997</v>
      </c>
      <c r="F30" s="16">
        <v>2.6498759299999999</v>
      </c>
      <c r="G30" s="14">
        <v>61.210578920000003</v>
      </c>
      <c r="H30" s="16">
        <v>2.6498759299999999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42.063791850000001</v>
      </c>
      <c r="F31" s="16">
        <v>2.4991491699999999</v>
      </c>
      <c r="G31" s="14">
        <v>57.936208149999999</v>
      </c>
      <c r="H31" s="16">
        <v>2.4991491699999999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33.551991020000003</v>
      </c>
      <c r="F33" s="16">
        <v>2.2618005800000001</v>
      </c>
      <c r="G33" s="14">
        <v>66.448008979999997</v>
      </c>
      <c r="H33" s="16">
        <v>2.2618005800000001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40.05496437</v>
      </c>
      <c r="F34" s="16">
        <v>1.9967675300000001</v>
      </c>
      <c r="G34" s="14">
        <v>59.94503563</v>
      </c>
      <c r="H34" s="16">
        <v>1.9967675300000001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36.988400839999997</v>
      </c>
      <c r="F35" s="16">
        <v>2.57466917</v>
      </c>
      <c r="G35" s="14">
        <v>63.011599160000003</v>
      </c>
      <c r="H35" s="16">
        <v>2.57466917</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43.32293413</v>
      </c>
      <c r="F36" s="16">
        <v>1.83715037</v>
      </c>
      <c r="G36" s="14">
        <v>56.67706587</v>
      </c>
      <c r="H36" s="16">
        <v>1.83715037</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43.899400470000003</v>
      </c>
      <c r="F37" s="16">
        <v>2.7005601000000001</v>
      </c>
      <c r="G37" s="14">
        <v>56.100599529999997</v>
      </c>
      <c r="H37" s="16">
        <v>2.7005601000000001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41.794244370000001</v>
      </c>
      <c r="F39" s="16">
        <v>2.7156460899999999</v>
      </c>
      <c r="G39" s="14">
        <v>58.205755629999999</v>
      </c>
      <c r="H39" s="16">
        <v>2.7156460899999999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37.956447429999997</v>
      </c>
      <c r="F40" s="16">
        <v>2.1875261500000001</v>
      </c>
      <c r="G40" s="14">
        <v>62.043552570000003</v>
      </c>
      <c r="H40" s="16">
        <v>2.1875261500000001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37.761475779999998</v>
      </c>
      <c r="F41" s="16">
        <v>2.09733561</v>
      </c>
      <c r="G41" s="14">
        <v>62.238524220000002</v>
      </c>
      <c r="H41" s="16">
        <v>2.09733561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37.490122192500003</v>
      </c>
      <c r="F42" s="16">
        <f>IF(COUNT(F7:F41) &gt; 0, SQRT(SUMSQ(F7:F41)/(COUNT(F7:F41)*COUNT(F7:F41)) ), "—")</f>
        <v>0.40429426004627106</v>
      </c>
      <c r="G42" s="14">
        <f>IF(COUNT(G7:G41) &gt; 0, AVERAGE(G7:G41), "—")</f>
        <v>62.509877807499997</v>
      </c>
      <c r="H42" s="16">
        <f>IF(COUNT(H7:H41) &gt; 0, SQRT(SUMSQ(H7:H41)/(COUNT(H7:H41)*COUNT(H7:H41)) ), "—")</f>
        <v>0.40429426004627106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46.048776879999998</v>
      </c>
      <c r="F46" s="16">
        <v>1.87447702</v>
      </c>
      <c r="G46" s="14">
        <v>53.951223120000002</v>
      </c>
      <c r="H46" s="16">
        <v>1.87447702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43.00969345</v>
      </c>
      <c r="F47" s="16">
        <v>2.0761469899999998</v>
      </c>
      <c r="G47" s="14">
        <v>56.99030655</v>
      </c>
      <c r="H47" s="16">
        <v>2.0761469899999998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24.865576399999998</v>
      </c>
      <c r="F48" s="16">
        <v>1.7183670900000001</v>
      </c>
      <c r="G48" s="14">
        <v>75.134423600000005</v>
      </c>
      <c r="H48" s="16">
        <v>1.7183670900000001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42.991167019999999</v>
      </c>
      <c r="F50" s="16">
        <v>2.30481121</v>
      </c>
      <c r="G50" s="14">
        <v>57.008832980000001</v>
      </c>
      <c r="H50" s="16">
        <v>2.30481121</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37.891580220000002</v>
      </c>
      <c r="F51" s="16">
        <v>2.6413292899999998</v>
      </c>
      <c r="G51" s="14">
        <v>62.108419779999998</v>
      </c>
      <c r="H51" s="16">
        <v>2.6413292899999998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38.381429609999998</v>
      </c>
      <c r="F52" s="16">
        <v>2.5927967000000001</v>
      </c>
      <c r="G52" s="14">
        <v>61.618570390000002</v>
      </c>
      <c r="H52" s="16">
        <v>2.5927967000000001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43.9494525</v>
      </c>
      <c r="F53" s="16">
        <v>2.0959212699999998</v>
      </c>
      <c r="G53" s="14">
        <v>56.0505475</v>
      </c>
      <c r="H53" s="16">
        <v>2.0959212699999998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34.022734200000002</v>
      </c>
      <c r="F56" s="16">
        <v>2.21385516</v>
      </c>
      <c r="G56" s="14">
        <v>65.977265799999998</v>
      </c>
      <c r="H56" s="16">
        <v>2.21385516</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27.936603810000001</v>
      </c>
      <c r="F61" s="16">
        <v>2.2054463800000002</v>
      </c>
      <c r="G61" s="14">
        <v>72.063396190000006</v>
      </c>
      <c r="H61" s="16">
        <v>2.2054463800000002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20.962912939999999</v>
      </c>
      <c r="F62" s="16">
        <v>1.9813403599999999</v>
      </c>
      <c r="G62" s="14">
        <v>79.037087060000005</v>
      </c>
      <c r="H62" s="16">
        <v>1.9813403599999999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44.57609033</v>
      </c>
      <c r="F66" s="16">
        <v>2.5116773700000001</v>
      </c>
      <c r="G66" s="14">
        <v>55.42390967</v>
      </c>
      <c r="H66" s="16">
        <v>2.5116773700000001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41.014128210000003</v>
      </c>
      <c r="F67" s="16">
        <v>2.2686112700000001</v>
      </c>
      <c r="G67" s="14">
        <v>58.985871789999997</v>
      </c>
      <c r="H67" s="16">
        <v>2.2686112700000001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44.693396239999998</v>
      </c>
      <c r="F70" s="16">
        <v>2.3396826100000001</v>
      </c>
      <c r="G70" s="14">
        <v>55.306603760000002</v>
      </c>
      <c r="H70" s="16">
        <v>2.3396826100000001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16.66132605</v>
      </c>
      <c r="F72" s="16">
        <v>1.45143596</v>
      </c>
      <c r="G72" s="14">
        <v>83.33867395</v>
      </c>
      <c r="H72" s="16">
        <v>1.45143596</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42.643279640000003</v>
      </c>
      <c r="F73" s="16">
        <v>2.6583861</v>
      </c>
      <c r="G73" s="14">
        <v>57.356720359999997</v>
      </c>
      <c r="H73" s="16">
        <v>2.6583861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50.16505884</v>
      </c>
      <c r="F75" s="16">
        <v>2.90667425</v>
      </c>
      <c r="G75" s="14">
        <v>49.83494116</v>
      </c>
      <c r="H75" s="16">
        <v>2.90667425</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42.950622520000003</v>
      </c>
      <c r="F76" s="16">
        <v>1.62464013</v>
      </c>
      <c r="G76" s="14">
        <v>57.049377479999997</v>
      </c>
      <c r="H76" s="16">
        <v>1.62464013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47.891496400000001</v>
      </c>
      <c r="F77" s="16">
        <v>2.2403929499999999</v>
      </c>
      <c r="G77" s="14">
        <v>52.108503599999999</v>
      </c>
      <c r="H77" s="16">
        <v>2.2403929499999999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42.126839029999999</v>
      </c>
      <c r="F81" s="16">
        <v>2.5583992200000001</v>
      </c>
      <c r="G81" s="14">
        <v>57.873160970000001</v>
      </c>
      <c r="H81" s="16">
        <v>2.5583992200000001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36.049244620000003</v>
      </c>
      <c r="F7" s="16">
        <v>1.7016316899999999</v>
      </c>
      <c r="G7" s="14">
        <v>63.950755379999997</v>
      </c>
      <c r="H7" s="16">
        <v>1.7016316899999999</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33.133757269999997</v>
      </c>
      <c r="F8" s="16">
        <v>1.88774595</v>
      </c>
      <c r="G8" s="14">
        <v>66.866242729999996</v>
      </c>
      <c r="H8" s="16">
        <v>1.88774595</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38.95159778</v>
      </c>
      <c r="F9" s="16">
        <v>1.8625660900000001</v>
      </c>
      <c r="G9" s="14">
        <v>61.04840222</v>
      </c>
      <c r="H9" s="16">
        <v>1.8625660900000001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37.791141930000002</v>
      </c>
      <c r="F10" s="16">
        <v>1.8765147799999999</v>
      </c>
      <c r="G10" s="14">
        <v>62.208858069999998</v>
      </c>
      <c r="H10" s="16">
        <v>1.8765147799999999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49.970441110000003</v>
      </c>
      <c r="F11" s="16">
        <v>2.3746383</v>
      </c>
      <c r="G11" s="14">
        <v>50.029558889999997</v>
      </c>
      <c r="H11" s="16">
        <v>2.3746383</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43.725402410000001</v>
      </c>
      <c r="F12" s="16">
        <v>2.2660373200000001</v>
      </c>
      <c r="G12" s="14">
        <v>56.274597589999999</v>
      </c>
      <c r="H12" s="16">
        <v>2.2660373200000001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40.785522190000002</v>
      </c>
      <c r="F13" s="16">
        <v>2.5190310899999999</v>
      </c>
      <c r="G13" s="14">
        <v>59.214477809999998</v>
      </c>
      <c r="H13" s="16">
        <v>2.5190310899999999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27.52904427</v>
      </c>
      <c r="F14" s="16">
        <v>2.1854475400000002</v>
      </c>
      <c r="G14" s="14">
        <v>72.47095573</v>
      </c>
      <c r="H14" s="16">
        <v>2.1854475400000002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35.924441340000001</v>
      </c>
      <c r="F15" s="16">
        <v>2.24246612</v>
      </c>
      <c r="G15" s="14">
        <v>64.075558659999999</v>
      </c>
      <c r="H15" s="16">
        <v>2.24246612</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35.545377700000003</v>
      </c>
      <c r="F16" s="16">
        <v>1.96557578</v>
      </c>
      <c r="G16" s="14">
        <v>64.454622299999997</v>
      </c>
      <c r="H16" s="16">
        <v>1.96557578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34.94813911</v>
      </c>
      <c r="F17" s="16">
        <v>1.9922233</v>
      </c>
      <c r="G17" s="14">
        <v>65.05186089</v>
      </c>
      <c r="H17" s="16">
        <v>1.9922233</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56.116567789999998</v>
      </c>
      <c r="F18" s="16">
        <v>2.4514869899999998</v>
      </c>
      <c r="G18" s="14">
        <v>43.883432210000002</v>
      </c>
      <c r="H18" s="16">
        <v>2.4514869899999998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50.824508420000001</v>
      </c>
      <c r="F19" s="16">
        <v>2.78293641</v>
      </c>
      <c r="G19" s="14">
        <v>49.175491579999999</v>
      </c>
      <c r="H19" s="16">
        <v>2.78293641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40.293483139999999</v>
      </c>
      <c r="F20" s="16">
        <v>3.0781057000000001</v>
      </c>
      <c r="G20" s="14">
        <v>59.706516860000001</v>
      </c>
      <c r="H20" s="16">
        <v>3.0781057000000001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50.419785040000001</v>
      </c>
      <c r="F22" s="16">
        <v>2.4051304400000002</v>
      </c>
      <c r="G22" s="14">
        <v>49.580214959999999</v>
      </c>
      <c r="H22" s="16">
        <v>2.4051304400000002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41.270966399999999</v>
      </c>
      <c r="F23" s="16">
        <v>2.36471469</v>
      </c>
      <c r="G23" s="14">
        <v>58.729033600000001</v>
      </c>
      <c r="H23" s="16">
        <v>2.36471469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22.666870079999999</v>
      </c>
      <c r="F24" s="16">
        <v>1.73287126</v>
      </c>
      <c r="G24" s="14">
        <v>77.333129920000005</v>
      </c>
      <c r="H24" s="16">
        <v>1.73287126</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24.933467449999998</v>
      </c>
      <c r="F25" s="16">
        <v>2.05737412</v>
      </c>
      <c r="G25" s="14">
        <v>75.066532550000005</v>
      </c>
      <c r="H25" s="16">
        <v>2.05737412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46.095776209999997</v>
      </c>
      <c r="F26" s="16">
        <v>2.3529016999999999</v>
      </c>
      <c r="G26" s="14">
        <v>53.904223790000003</v>
      </c>
      <c r="H26" s="16">
        <v>2.3529016999999999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41.552641450000003</v>
      </c>
      <c r="F27" s="16">
        <v>2.4325013000000002</v>
      </c>
      <c r="G27" s="14">
        <v>58.447358549999997</v>
      </c>
      <c r="H27" s="16">
        <v>2.4325013000000002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53.925515910000001</v>
      </c>
      <c r="F28" s="16">
        <v>2.4800493499999998</v>
      </c>
      <c r="G28" s="14">
        <v>46.074484089999999</v>
      </c>
      <c r="H28" s="16">
        <v>2.4800493499999998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36.559748519999999</v>
      </c>
      <c r="F29" s="16">
        <v>1.7212203399999999</v>
      </c>
      <c r="G29" s="14">
        <v>63.440251480000001</v>
      </c>
      <c r="H29" s="16">
        <v>1.7212203399999999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34.136551060000002</v>
      </c>
      <c r="F30" s="16">
        <v>2.4363309599999998</v>
      </c>
      <c r="G30" s="14">
        <v>65.863448939999998</v>
      </c>
      <c r="H30" s="16">
        <v>2.4363309599999998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46.777582580000001</v>
      </c>
      <c r="F31" s="16">
        <v>2.93142265</v>
      </c>
      <c r="G31" s="14">
        <v>53.222417419999999</v>
      </c>
      <c r="H31" s="16">
        <v>2.93142265</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37.724601980000003</v>
      </c>
      <c r="F33" s="16">
        <v>2.41520102</v>
      </c>
      <c r="G33" s="14">
        <v>62.275398019999997</v>
      </c>
      <c r="H33" s="16">
        <v>2.41520102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51.734900519999997</v>
      </c>
      <c r="F34" s="16">
        <v>2.1582041799999998</v>
      </c>
      <c r="G34" s="14">
        <v>48.265099480000003</v>
      </c>
      <c r="H34" s="16">
        <v>2.1582041799999998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39.257091010000003</v>
      </c>
      <c r="F35" s="16">
        <v>2.56983797</v>
      </c>
      <c r="G35" s="14">
        <v>60.742908989999997</v>
      </c>
      <c r="H35" s="16">
        <v>2.56983797</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41.415351280000003</v>
      </c>
      <c r="F36" s="16">
        <v>2.2251888499999999</v>
      </c>
      <c r="G36" s="14">
        <v>58.584648719999997</v>
      </c>
      <c r="H36" s="16">
        <v>2.2251888499999999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38.997044510000002</v>
      </c>
      <c r="F37" s="16">
        <v>2.3596802600000002</v>
      </c>
      <c r="G37" s="14">
        <v>61.002955489999998</v>
      </c>
      <c r="H37" s="16">
        <v>2.3596802600000002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61.065295249999998</v>
      </c>
      <c r="F39" s="16">
        <v>2.04311467</v>
      </c>
      <c r="G39" s="14">
        <v>38.934704750000002</v>
      </c>
      <c r="H39" s="16">
        <v>2.04311467</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37.288126470000002</v>
      </c>
      <c r="F40" s="16">
        <v>2.4345784799999999</v>
      </c>
      <c r="G40" s="14">
        <v>62.711873529999998</v>
      </c>
      <c r="H40" s="16">
        <v>2.4345784799999999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40.806292550000002</v>
      </c>
      <c r="F41" s="16">
        <v>2.59229763</v>
      </c>
      <c r="G41" s="14">
        <v>59.193707449999998</v>
      </c>
      <c r="H41" s="16">
        <v>2.59229763</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40.881758667187498</v>
      </c>
      <c r="F42" s="16">
        <f>IF(COUNT(F7:F41) &gt; 0, SQRT(SUMSQ(F7:F41)/(COUNT(F7:F41)*COUNT(F7:F41)) ), "—")</f>
        <v>0.40694556052927405</v>
      </c>
      <c r="G42" s="14">
        <f>IF(COUNT(G7:G41) &gt; 0, AVERAGE(G7:G41), "—")</f>
        <v>59.118241332812488</v>
      </c>
      <c r="H42" s="16">
        <f>IF(COUNT(H7:H41) &gt; 0, SQRT(SUMSQ(H7:H41)/(COUNT(H7:H41)*COUNT(H7:H41)) ), "—")</f>
        <v>0.40694556052927405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61.849051019999997</v>
      </c>
      <c r="F46" s="16">
        <v>1.9402436300000001</v>
      </c>
      <c r="G46" s="14">
        <v>38.150948980000003</v>
      </c>
      <c r="H46" s="16">
        <v>1.9402436300000001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60.101170840000002</v>
      </c>
      <c r="F47" s="16">
        <v>2.21457741</v>
      </c>
      <c r="G47" s="14">
        <v>39.898829159999998</v>
      </c>
      <c r="H47" s="16">
        <v>2.21457741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33.066990109999999</v>
      </c>
      <c r="F48" s="16">
        <v>2.19205937</v>
      </c>
      <c r="G48" s="14">
        <v>66.933009889999994</v>
      </c>
      <c r="H48" s="16">
        <v>2.19205937</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51.778777099999999</v>
      </c>
      <c r="F50" s="16">
        <v>2.31731584</v>
      </c>
      <c r="G50" s="14">
        <v>48.221222900000001</v>
      </c>
      <c r="H50" s="16">
        <v>2.31731584</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53.715353620000002</v>
      </c>
      <c r="F51" s="16">
        <v>2.32295037</v>
      </c>
      <c r="G51" s="14">
        <v>46.284646379999998</v>
      </c>
      <c r="H51" s="16">
        <v>2.32295037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50.572625819999999</v>
      </c>
      <c r="F52" s="16">
        <v>2.2010330499999999</v>
      </c>
      <c r="G52" s="14">
        <v>49.427374180000001</v>
      </c>
      <c r="H52" s="16">
        <v>2.2010330499999999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52.25059881</v>
      </c>
      <c r="F53" s="16">
        <v>1.9828845799999999</v>
      </c>
      <c r="G53" s="14">
        <v>47.74940119</v>
      </c>
      <c r="H53" s="16">
        <v>1.9828845799999999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15.51244202</v>
      </c>
      <c r="F56" s="16">
        <v>1.58956795</v>
      </c>
      <c r="G56" s="14">
        <v>84.487557980000005</v>
      </c>
      <c r="H56" s="16">
        <v>1.58956795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49.441395219999997</v>
      </c>
      <c r="F61" s="16">
        <v>2.59913361</v>
      </c>
      <c r="G61" s="14">
        <v>50.558604780000003</v>
      </c>
      <c r="H61" s="16">
        <v>2.59913361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22.57849298</v>
      </c>
      <c r="F62" s="16">
        <v>2.3632805100000001</v>
      </c>
      <c r="G62" s="14">
        <v>77.421507020000007</v>
      </c>
      <c r="H62" s="16">
        <v>2.3632805100000001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62.316916749999997</v>
      </c>
      <c r="F66" s="16">
        <v>2.0050401199999999</v>
      </c>
      <c r="G66" s="14">
        <v>37.683083250000003</v>
      </c>
      <c r="H66" s="16">
        <v>2.0050401199999999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57.621915680000001</v>
      </c>
      <c r="F67" s="16">
        <v>2.4583754899999999</v>
      </c>
      <c r="G67" s="14">
        <v>42.378084319999999</v>
      </c>
      <c r="H67" s="16">
        <v>2.4583754899999999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50.591147769999999</v>
      </c>
      <c r="F70" s="16">
        <v>3.0831036200000002</v>
      </c>
      <c r="G70" s="14">
        <v>49.408852230000001</v>
      </c>
      <c r="H70" s="16">
        <v>3.0831036200000002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24.44761501</v>
      </c>
      <c r="F72" s="16">
        <v>1.7175631600000001</v>
      </c>
      <c r="G72" s="14">
        <v>75.552384989999993</v>
      </c>
      <c r="H72" s="16">
        <v>1.7175631600000001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52.346457059999999</v>
      </c>
      <c r="F73" s="16">
        <v>2.5232915500000002</v>
      </c>
      <c r="G73" s="14">
        <v>47.653542940000001</v>
      </c>
      <c r="H73" s="16">
        <v>2.5232915500000002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72.265862299999995</v>
      </c>
      <c r="F75" s="16">
        <v>2.2797989799999998</v>
      </c>
      <c r="G75" s="14">
        <v>27.734137700000002</v>
      </c>
      <c r="H75" s="16">
        <v>2.2797989799999998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60.28561345</v>
      </c>
      <c r="F76" s="16">
        <v>1.7458009400000001</v>
      </c>
      <c r="G76" s="14">
        <v>39.71438655</v>
      </c>
      <c r="H76" s="16">
        <v>1.7458009400000001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54.45352389</v>
      </c>
      <c r="F77" s="16">
        <v>1.9457766000000001</v>
      </c>
      <c r="G77" s="14">
        <v>45.54647611</v>
      </c>
      <c r="H77" s="16">
        <v>1.9457766000000001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48.638258620000002</v>
      </c>
      <c r="F81" s="16">
        <v>2.4613137300000001</v>
      </c>
      <c r="G81" s="14">
        <v>51.361741379999998</v>
      </c>
      <c r="H81" s="16">
        <v>2.4613137300000001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17.33571744</v>
      </c>
      <c r="F7" s="16">
        <v>1.3641932400000001</v>
      </c>
      <c r="G7" s="14">
        <v>82.664282560000004</v>
      </c>
      <c r="H7" s="16">
        <v>1.3641932400000001</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13.878871950000001</v>
      </c>
      <c r="F8" s="16">
        <v>1.2668647099999999</v>
      </c>
      <c r="G8" s="14">
        <v>86.121128049999996</v>
      </c>
      <c r="H8" s="16">
        <v>1.2668647099999999</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14.620250909999999</v>
      </c>
      <c r="F9" s="16">
        <v>1.3745516600000001</v>
      </c>
      <c r="G9" s="14">
        <v>85.379749090000004</v>
      </c>
      <c r="H9" s="16">
        <v>1.3745516600000001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14.80052609</v>
      </c>
      <c r="F10" s="16">
        <v>1.4058584300000001</v>
      </c>
      <c r="G10" s="14">
        <v>85.199473909999995</v>
      </c>
      <c r="H10" s="16">
        <v>1.4058584300000001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12.63450377</v>
      </c>
      <c r="F11" s="16">
        <v>1.92587599</v>
      </c>
      <c r="G11" s="14">
        <v>87.365496230000005</v>
      </c>
      <c r="H11" s="16">
        <v>1.92587599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19.46642138</v>
      </c>
      <c r="F12" s="16">
        <v>1.85293039</v>
      </c>
      <c r="G12" s="14">
        <v>80.53357862</v>
      </c>
      <c r="H12" s="16">
        <v>1.85293039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14.263137739999999</v>
      </c>
      <c r="F13" s="16">
        <v>1.87642902</v>
      </c>
      <c r="G13" s="14">
        <v>85.736862259999995</v>
      </c>
      <c r="H13" s="16">
        <v>1.87642902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10.76717036</v>
      </c>
      <c r="F14" s="16">
        <v>1.5120602400000001</v>
      </c>
      <c r="G14" s="14">
        <v>89.232829640000006</v>
      </c>
      <c r="H14" s="16">
        <v>1.5120602400000001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12.38051804</v>
      </c>
      <c r="F15" s="16">
        <v>1.7160517200000001</v>
      </c>
      <c r="G15" s="14">
        <v>87.619481960000002</v>
      </c>
      <c r="H15" s="16">
        <v>1.7160517200000001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14.028075019999999</v>
      </c>
      <c r="F16" s="16">
        <v>1.4626154499999999</v>
      </c>
      <c r="G16" s="14">
        <v>85.971924979999997</v>
      </c>
      <c r="H16" s="16">
        <v>1.4626154499999999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10.97394907</v>
      </c>
      <c r="F17" s="16">
        <v>1.6005334099999999</v>
      </c>
      <c r="G17" s="14">
        <v>89.026050929999997</v>
      </c>
      <c r="H17" s="16">
        <v>1.6005334099999999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17.503048029999999</v>
      </c>
      <c r="F18" s="16">
        <v>2.1079451300000001</v>
      </c>
      <c r="G18" s="14">
        <v>82.496951969999998</v>
      </c>
      <c r="H18" s="16">
        <v>2.1079451300000001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17.74944022</v>
      </c>
      <c r="F19" s="16">
        <v>1.9357641000000001</v>
      </c>
      <c r="G19" s="14">
        <v>82.250559780000003</v>
      </c>
      <c r="H19" s="16">
        <v>1.9357641000000001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14.863467480000001</v>
      </c>
      <c r="F20" s="16">
        <v>2.3061614700000002</v>
      </c>
      <c r="G20" s="14">
        <v>85.136532520000003</v>
      </c>
      <c r="H20" s="16">
        <v>2.3061614700000002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16.71281342</v>
      </c>
      <c r="F22" s="16">
        <v>1.6158532699999999</v>
      </c>
      <c r="G22" s="14">
        <v>83.287186579999997</v>
      </c>
      <c r="H22" s="16">
        <v>1.6158532699999999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14.853821959999999</v>
      </c>
      <c r="F23" s="16">
        <v>1.6752892800000001</v>
      </c>
      <c r="G23" s="14">
        <v>85.146178039999995</v>
      </c>
      <c r="H23" s="16">
        <v>1.6752892800000001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17.723467200000002</v>
      </c>
      <c r="F24" s="16">
        <v>1.6076853900000001</v>
      </c>
      <c r="G24" s="14">
        <v>82.276532799999998</v>
      </c>
      <c r="H24" s="16">
        <v>1.6076853900000001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27.68671393</v>
      </c>
      <c r="F25" s="16">
        <v>2.0962931</v>
      </c>
      <c r="G25" s="14">
        <v>72.313286070000004</v>
      </c>
      <c r="H25" s="16">
        <v>2.0962931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19.412560209999999</v>
      </c>
      <c r="F26" s="16">
        <v>2.1940625499999999</v>
      </c>
      <c r="G26" s="14">
        <v>80.587439790000005</v>
      </c>
      <c r="H26" s="16">
        <v>2.1940625499999999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16.567178859999999</v>
      </c>
      <c r="F27" s="16">
        <v>1.7915741199999999</v>
      </c>
      <c r="G27" s="14">
        <v>83.432821140000001</v>
      </c>
      <c r="H27" s="16">
        <v>1.7915741199999999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15.128508249999999</v>
      </c>
      <c r="F28" s="16">
        <v>1.79535672</v>
      </c>
      <c r="G28" s="14">
        <v>84.871491750000004</v>
      </c>
      <c r="H28" s="16">
        <v>1.79535672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13.31366074</v>
      </c>
      <c r="F29" s="16">
        <v>1.48277919</v>
      </c>
      <c r="G29" s="14">
        <v>86.686339259999997</v>
      </c>
      <c r="H29" s="16">
        <v>1.48277919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13.85885596</v>
      </c>
      <c r="F30" s="16">
        <v>1.6721618300000001</v>
      </c>
      <c r="G30" s="14">
        <v>86.14114404</v>
      </c>
      <c r="H30" s="16">
        <v>1.6721618300000001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15.10179888</v>
      </c>
      <c r="F31" s="16">
        <v>1.77471672</v>
      </c>
      <c r="G31" s="14">
        <v>84.898201119999996</v>
      </c>
      <c r="H31" s="16">
        <v>1.77471672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11.699220240000001</v>
      </c>
      <c r="F33" s="16">
        <v>1.6692962499999999</v>
      </c>
      <c r="G33" s="14">
        <v>88.300779759999998</v>
      </c>
      <c r="H33" s="16">
        <v>1.6692962499999999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22.88180702</v>
      </c>
      <c r="F34" s="16">
        <v>1.82821765</v>
      </c>
      <c r="G34" s="14">
        <v>77.118192980000003</v>
      </c>
      <c r="H34" s="16">
        <v>1.82821765</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16.205279340000001</v>
      </c>
      <c r="F35" s="16">
        <v>1.67036976</v>
      </c>
      <c r="G35" s="14">
        <v>83.794720659999996</v>
      </c>
      <c r="H35" s="16">
        <v>1.67036976</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13.52288036</v>
      </c>
      <c r="F36" s="16">
        <v>1.60860611</v>
      </c>
      <c r="G36" s="14">
        <v>86.477119639999998</v>
      </c>
      <c r="H36" s="16">
        <v>1.60860611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17.15309925</v>
      </c>
      <c r="F37" s="16">
        <v>1.8053925</v>
      </c>
      <c r="G37" s="14">
        <v>82.846900750000003</v>
      </c>
      <c r="H37" s="16">
        <v>1.8053925</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19.485490469999998</v>
      </c>
      <c r="F39" s="16">
        <v>1.8326942500000001</v>
      </c>
      <c r="G39" s="14">
        <v>80.514509529999998</v>
      </c>
      <c r="H39" s="16">
        <v>1.8326942500000001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18.783091939999998</v>
      </c>
      <c r="F40" s="16">
        <v>1.6501756599999999</v>
      </c>
      <c r="G40" s="14">
        <v>81.216908059999994</v>
      </c>
      <c r="H40" s="16">
        <v>1.6501756599999999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13.02618595</v>
      </c>
      <c r="F41" s="16">
        <v>1.8293028600000001</v>
      </c>
      <c r="G41" s="14">
        <v>86.973814050000001</v>
      </c>
      <c r="H41" s="16">
        <v>1.8293028600000001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15.886922858749999</v>
      </c>
      <c r="F42" s="16">
        <f>IF(COUNT(F7:F41) &gt; 0, SQRT(SUMSQ(F7:F41)/(COUNT(F7:F41)*COUNT(F7:F41)) ), "—")</f>
        <v>0.30844013577229112</v>
      </c>
      <c r="G42" s="14">
        <f>IF(COUNT(G7:G41) &gt; 0, AVERAGE(G7:G41), "—")</f>
        <v>84.113077141250002</v>
      </c>
      <c r="H42" s="16">
        <f>IF(COUNT(H7:H41) &gt; 0, SQRT(SUMSQ(H7:H41)/(COUNT(H7:H41)*COUNT(H7:H41)) ), "—")</f>
        <v>0.30844013577229112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21.11458369</v>
      </c>
      <c r="F46" s="16">
        <v>1.37763422</v>
      </c>
      <c r="G46" s="14">
        <v>78.885416309999997</v>
      </c>
      <c r="H46" s="16">
        <v>1.37763422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23.590373249999999</v>
      </c>
      <c r="F47" s="16">
        <v>1.6766698799999999</v>
      </c>
      <c r="G47" s="14">
        <v>76.409626750000001</v>
      </c>
      <c r="H47" s="16">
        <v>1.6766698799999999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21.086633719999998</v>
      </c>
      <c r="F48" s="16">
        <v>1.96848369</v>
      </c>
      <c r="G48" s="14">
        <v>78.913366280000005</v>
      </c>
      <c r="H48" s="16">
        <v>1.96848369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16.17298843</v>
      </c>
      <c r="F50" s="16">
        <v>1.6849007</v>
      </c>
      <c r="G50" s="14">
        <v>83.827011569999996</v>
      </c>
      <c r="H50" s="16">
        <v>1.6849007</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11.93690786</v>
      </c>
      <c r="F51" s="16">
        <v>1.6327805200000001</v>
      </c>
      <c r="G51" s="14">
        <v>88.063092139999995</v>
      </c>
      <c r="H51" s="16">
        <v>1.6327805200000001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16.000523909999998</v>
      </c>
      <c r="F52" s="16">
        <v>1.93283261</v>
      </c>
      <c r="G52" s="14">
        <v>83.999476090000002</v>
      </c>
      <c r="H52" s="16">
        <v>1.93283261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31.727515669999999</v>
      </c>
      <c r="F53" s="16">
        <v>1.9794476299999999</v>
      </c>
      <c r="G53" s="14">
        <v>68.272484329999997</v>
      </c>
      <c r="H53" s="16">
        <v>1.9794476299999999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18.782038669999999</v>
      </c>
      <c r="F56" s="16">
        <v>1.93419663</v>
      </c>
      <c r="G56" s="14">
        <v>81.217961329999994</v>
      </c>
      <c r="H56" s="16">
        <v>1.93419663</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18.713083560000001</v>
      </c>
      <c r="F61" s="16">
        <v>1.72985096</v>
      </c>
      <c r="G61" s="14">
        <v>81.286916439999999</v>
      </c>
      <c r="H61" s="16">
        <v>1.72985096</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20.314523529999999</v>
      </c>
      <c r="F62" s="16">
        <v>2.1063674099999998</v>
      </c>
      <c r="G62" s="14">
        <v>79.685476469999998</v>
      </c>
      <c r="H62" s="16">
        <v>2.1063674099999998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24.573541519999999</v>
      </c>
      <c r="F66" s="16">
        <v>2.0218617700000001</v>
      </c>
      <c r="G66" s="14">
        <v>75.426458479999994</v>
      </c>
      <c r="H66" s="16">
        <v>2.0218617700000001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14.47162554</v>
      </c>
      <c r="F67" s="16">
        <v>1.7688649000000001</v>
      </c>
      <c r="G67" s="14">
        <v>85.528374459999995</v>
      </c>
      <c r="H67" s="16">
        <v>1.7688649000000001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16.497229399999998</v>
      </c>
      <c r="F70" s="16">
        <v>1.72490382</v>
      </c>
      <c r="G70" s="14">
        <v>83.502770600000005</v>
      </c>
      <c r="H70" s="16">
        <v>1.72490382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15.517907340000001</v>
      </c>
      <c r="F72" s="16">
        <v>1.5108912800000001</v>
      </c>
      <c r="G72" s="14">
        <v>84.482092660000006</v>
      </c>
      <c r="H72" s="16">
        <v>1.5108912800000001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26.044822360000001</v>
      </c>
      <c r="F73" s="16">
        <v>2.1235401199999999</v>
      </c>
      <c r="G73" s="14">
        <v>73.955177640000002</v>
      </c>
      <c r="H73" s="16">
        <v>2.1235401199999999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25.17681868</v>
      </c>
      <c r="F75" s="16">
        <v>2.9849112299999998</v>
      </c>
      <c r="G75" s="14">
        <v>74.823181320000003</v>
      </c>
      <c r="H75" s="16">
        <v>2.9849112299999998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28.383523839999999</v>
      </c>
      <c r="F76" s="16">
        <v>1.5246992100000001</v>
      </c>
      <c r="G76" s="14">
        <v>71.616476160000005</v>
      </c>
      <c r="H76" s="16">
        <v>1.5246992100000001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20.60233865</v>
      </c>
      <c r="F77" s="16">
        <v>2.08664125</v>
      </c>
      <c r="G77" s="14">
        <v>79.397661350000007</v>
      </c>
      <c r="H77" s="16">
        <v>2.08664125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26.85124969</v>
      </c>
      <c r="F81" s="16">
        <v>2.1233375400000001</v>
      </c>
      <c r="G81" s="14">
        <v>73.148750309999997</v>
      </c>
      <c r="H81" s="16">
        <v>2.1233375400000001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27.096357099999999</v>
      </c>
      <c r="F7" s="16">
        <v>1.87604623</v>
      </c>
      <c r="G7" s="14">
        <v>72.903642899999994</v>
      </c>
      <c r="H7" s="16">
        <v>1.87604623</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16.167037310000001</v>
      </c>
      <c r="F8" s="16">
        <v>1.7323619100000001</v>
      </c>
      <c r="G8" s="14">
        <v>83.832962690000002</v>
      </c>
      <c r="H8" s="16">
        <v>1.7323619100000001</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17.162893740000001</v>
      </c>
      <c r="F9" s="16">
        <v>1.4301909100000001</v>
      </c>
      <c r="G9" s="14">
        <v>82.837106259999999</v>
      </c>
      <c r="H9" s="16">
        <v>1.4301909100000001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24.055055469999999</v>
      </c>
      <c r="F10" s="16">
        <v>1.57274983</v>
      </c>
      <c r="G10" s="14">
        <v>75.944944530000001</v>
      </c>
      <c r="H10" s="16">
        <v>1.57274983</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21.628202250000001</v>
      </c>
      <c r="F11" s="16">
        <v>2.1162430200000002</v>
      </c>
      <c r="G11" s="14">
        <v>78.371797749999999</v>
      </c>
      <c r="H11" s="16">
        <v>2.1162430200000002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21.31927207</v>
      </c>
      <c r="F12" s="16">
        <v>1.90656578</v>
      </c>
      <c r="G12" s="14">
        <v>78.680727930000003</v>
      </c>
      <c r="H12" s="16">
        <v>1.90656578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20.104660490000001</v>
      </c>
      <c r="F13" s="16">
        <v>2.1840381500000001</v>
      </c>
      <c r="G13" s="14">
        <v>79.895339509999999</v>
      </c>
      <c r="H13" s="16">
        <v>2.1840381500000001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12.69817782</v>
      </c>
      <c r="F14" s="16">
        <v>1.9507155700000001</v>
      </c>
      <c r="G14" s="14">
        <v>87.301822180000002</v>
      </c>
      <c r="H14" s="16">
        <v>1.9507155700000001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17.57323225</v>
      </c>
      <c r="F15" s="16">
        <v>1.6407523399999999</v>
      </c>
      <c r="G15" s="14">
        <v>82.426767749999996</v>
      </c>
      <c r="H15" s="16">
        <v>1.6407523399999999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21.491113389999999</v>
      </c>
      <c r="F16" s="16">
        <v>1.8953217899999999</v>
      </c>
      <c r="G16" s="14">
        <v>78.508886610000005</v>
      </c>
      <c r="H16" s="16">
        <v>1.8953217899999999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11.944407549999999</v>
      </c>
      <c r="F17" s="16">
        <v>1.5168211899999999</v>
      </c>
      <c r="G17" s="14">
        <v>88.055592450000006</v>
      </c>
      <c r="H17" s="16">
        <v>1.5168211899999999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23.502714950000001</v>
      </c>
      <c r="F18" s="16">
        <v>2.0534527900000001</v>
      </c>
      <c r="G18" s="14">
        <v>76.497285050000002</v>
      </c>
      <c r="H18" s="16">
        <v>2.0534527900000001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24.850516420000002</v>
      </c>
      <c r="F19" s="16">
        <v>2.2013493500000001</v>
      </c>
      <c r="G19" s="14">
        <v>75.149483579999995</v>
      </c>
      <c r="H19" s="16">
        <v>2.2013493500000001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22.323034629999999</v>
      </c>
      <c r="F20" s="16">
        <v>2.6380819400000002</v>
      </c>
      <c r="G20" s="14">
        <v>77.676965370000005</v>
      </c>
      <c r="H20" s="16">
        <v>2.6380819400000002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22.789892930000001</v>
      </c>
      <c r="F22" s="16">
        <v>2.29483199</v>
      </c>
      <c r="G22" s="14">
        <v>77.210107070000007</v>
      </c>
      <c r="H22" s="16">
        <v>2.29483199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19.956778839999998</v>
      </c>
      <c r="F23" s="16">
        <v>1.86188277</v>
      </c>
      <c r="G23" s="14">
        <v>80.043221160000002</v>
      </c>
      <c r="H23" s="16">
        <v>1.86188277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13.547006100000001</v>
      </c>
      <c r="F24" s="16">
        <v>1.69625001</v>
      </c>
      <c r="G24" s="14">
        <v>86.452993899999996</v>
      </c>
      <c r="H24" s="16">
        <v>1.69625001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11.978475469999999</v>
      </c>
      <c r="F25" s="16">
        <v>1.63596067</v>
      </c>
      <c r="G25" s="14">
        <v>88.021524529999994</v>
      </c>
      <c r="H25" s="16">
        <v>1.63596067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12.55673107</v>
      </c>
      <c r="F26" s="16">
        <v>1.608533</v>
      </c>
      <c r="G26" s="14">
        <v>87.443268930000002</v>
      </c>
      <c r="H26" s="16">
        <v>1.608533</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20.48030717</v>
      </c>
      <c r="F27" s="16">
        <v>1.8919893699999999</v>
      </c>
      <c r="G27" s="14">
        <v>79.519692829999997</v>
      </c>
      <c r="H27" s="16">
        <v>1.8919893699999999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32.758008889999999</v>
      </c>
      <c r="F28" s="16">
        <v>1.98434526</v>
      </c>
      <c r="G28" s="14">
        <v>67.241991110000001</v>
      </c>
      <c r="H28" s="16">
        <v>1.98434526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15.18305661</v>
      </c>
      <c r="F29" s="16">
        <v>1.4779675999999999</v>
      </c>
      <c r="G29" s="14">
        <v>84.816943390000006</v>
      </c>
      <c r="H29" s="16">
        <v>1.4779675999999999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26.612319849999999</v>
      </c>
      <c r="F30" s="16">
        <v>2.15157715</v>
      </c>
      <c r="G30" s="14">
        <v>73.387680149999994</v>
      </c>
      <c r="H30" s="16">
        <v>2.15157715</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18.922616990000002</v>
      </c>
      <c r="F31" s="16">
        <v>2.0209351999999998</v>
      </c>
      <c r="G31" s="14">
        <v>81.077383010000005</v>
      </c>
      <c r="H31" s="16">
        <v>2.0209351999999998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15.10518092</v>
      </c>
      <c r="F33" s="16">
        <v>2.1030866800000001</v>
      </c>
      <c r="G33" s="14">
        <v>84.894819080000005</v>
      </c>
      <c r="H33" s="16">
        <v>2.1030866800000001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22.16330559</v>
      </c>
      <c r="F34" s="16">
        <v>1.99303578</v>
      </c>
      <c r="G34" s="14">
        <v>77.836694410000007</v>
      </c>
      <c r="H34" s="16">
        <v>1.99303578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13.68415937</v>
      </c>
      <c r="F35" s="16">
        <v>1.6925017200000001</v>
      </c>
      <c r="G35" s="14">
        <v>86.315840629999997</v>
      </c>
      <c r="H35" s="16">
        <v>1.6925017200000001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19.610153019999998</v>
      </c>
      <c r="F36" s="16">
        <v>1.3355361100000001</v>
      </c>
      <c r="G36" s="14">
        <v>80.389846980000002</v>
      </c>
      <c r="H36" s="16">
        <v>1.3355361100000001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23.941821399999998</v>
      </c>
      <c r="F37" s="16">
        <v>1.8337929900000001</v>
      </c>
      <c r="G37" s="14">
        <v>76.058178600000005</v>
      </c>
      <c r="H37" s="16">
        <v>1.8337929900000001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27.899947449999999</v>
      </c>
      <c r="F39" s="16">
        <v>2.21056754</v>
      </c>
      <c r="G39" s="14">
        <v>72.100052550000001</v>
      </c>
      <c r="H39" s="16">
        <v>2.21056754</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25.516345489999999</v>
      </c>
      <c r="F40" s="16">
        <v>1.75700609</v>
      </c>
      <c r="G40" s="14">
        <v>74.483654509999994</v>
      </c>
      <c r="H40" s="16">
        <v>1.75700609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28.067614420000002</v>
      </c>
      <c r="F41" s="16">
        <v>2.03816328</v>
      </c>
      <c r="G41" s="14">
        <v>71.932385580000002</v>
      </c>
      <c r="H41" s="16">
        <v>2.03816328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20.396574906874999</v>
      </c>
      <c r="F42" s="16">
        <f>IF(COUNT(F7:F41) &gt; 0, SQRT(SUMSQ(F7:F41)/(COUNT(F7:F41)*COUNT(F7:F41)) ), "—")</f>
        <v>0.33680265333727194</v>
      </c>
      <c r="G42" s="14">
        <f>IF(COUNT(G7:G41) &gt; 0, AVERAGE(G7:G41), "—")</f>
        <v>79.603425093124983</v>
      </c>
      <c r="H42" s="16">
        <f>IF(COUNT(H7:H41) &gt; 0, SQRT(SUMSQ(H7:H41)/(COUNT(H7:H41)*COUNT(H7:H41)) ), "—")</f>
        <v>0.33680265333727194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32.89335423</v>
      </c>
      <c r="F46" s="16">
        <v>1.63749145</v>
      </c>
      <c r="G46" s="14">
        <v>67.10664577</v>
      </c>
      <c r="H46" s="16">
        <v>1.63749145</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29.598420650000001</v>
      </c>
      <c r="F47" s="16">
        <v>1.96938915</v>
      </c>
      <c r="G47" s="14">
        <v>70.401579350000006</v>
      </c>
      <c r="H47" s="16">
        <v>1.96938915</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18.493520950000001</v>
      </c>
      <c r="F48" s="16">
        <v>1.5656464699999999</v>
      </c>
      <c r="G48" s="14">
        <v>81.506479049999996</v>
      </c>
      <c r="H48" s="16">
        <v>1.5656464699999999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28.798239590000001</v>
      </c>
      <c r="F50" s="16">
        <v>2.18329219</v>
      </c>
      <c r="G50" s="14">
        <v>71.201760410000006</v>
      </c>
      <c r="H50" s="16">
        <v>2.18329219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22.28753318</v>
      </c>
      <c r="F51" s="16">
        <v>1.7645029299999999</v>
      </c>
      <c r="G51" s="14">
        <v>77.712466820000003</v>
      </c>
      <c r="H51" s="16">
        <v>1.7645029299999999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18.3181531</v>
      </c>
      <c r="F52" s="16">
        <v>1.8949417900000001</v>
      </c>
      <c r="G52" s="14">
        <v>81.681846899999996</v>
      </c>
      <c r="H52" s="16">
        <v>1.8949417900000001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31.45729377</v>
      </c>
      <c r="F53" s="16">
        <v>1.8513403100000001</v>
      </c>
      <c r="G53" s="14">
        <v>68.542706229999993</v>
      </c>
      <c r="H53" s="16">
        <v>1.8513403100000001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10.76986853</v>
      </c>
      <c r="F56" s="16">
        <v>1.98543994</v>
      </c>
      <c r="G56" s="14">
        <v>89.230131470000003</v>
      </c>
      <c r="H56" s="16">
        <v>1.98543994</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15.871069840000001</v>
      </c>
      <c r="F61" s="16">
        <v>1.6088885900000001</v>
      </c>
      <c r="G61" s="14">
        <v>84.128930159999996</v>
      </c>
      <c r="H61" s="16">
        <v>1.6088885900000001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12.63559046</v>
      </c>
      <c r="F62" s="16">
        <v>1.4677894199999999</v>
      </c>
      <c r="G62" s="14">
        <v>87.364409539999997</v>
      </c>
      <c r="H62" s="16">
        <v>1.4677894199999999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31.95043042</v>
      </c>
      <c r="F66" s="16">
        <v>2.2000556900000001</v>
      </c>
      <c r="G66" s="14">
        <v>68.049569579999996</v>
      </c>
      <c r="H66" s="16">
        <v>2.2000556900000001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30.759919270000001</v>
      </c>
      <c r="F67" s="16">
        <v>2.2024475799999998</v>
      </c>
      <c r="G67" s="14">
        <v>69.240080730000003</v>
      </c>
      <c r="H67" s="16">
        <v>2.2024475799999998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15.36725352</v>
      </c>
      <c r="F70" s="16">
        <v>1.8740126699999999</v>
      </c>
      <c r="G70" s="14">
        <v>84.632746479999994</v>
      </c>
      <c r="H70" s="16">
        <v>1.8740126699999999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11.411895060000001</v>
      </c>
      <c r="F72" s="16">
        <v>1.33611305</v>
      </c>
      <c r="G72" s="14">
        <v>88.588104939999994</v>
      </c>
      <c r="H72" s="16">
        <v>1.33611305</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41.928466810000003</v>
      </c>
      <c r="F73" s="16">
        <v>2.4236491</v>
      </c>
      <c r="G73" s="14">
        <v>58.071533189999997</v>
      </c>
      <c r="H73" s="16">
        <v>2.4236491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44.315946750000002</v>
      </c>
      <c r="F75" s="16">
        <v>2.8671387300000002</v>
      </c>
      <c r="G75" s="14">
        <v>55.684053249999998</v>
      </c>
      <c r="H75" s="16">
        <v>2.8671387300000002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35.11373184</v>
      </c>
      <c r="F76" s="16">
        <v>2.14750781</v>
      </c>
      <c r="G76" s="14">
        <v>64.88626816</v>
      </c>
      <c r="H76" s="16">
        <v>2.14750781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28.812682769999999</v>
      </c>
      <c r="F77" s="16">
        <v>2.2281210300000001</v>
      </c>
      <c r="G77" s="14">
        <v>71.187317230000005</v>
      </c>
      <c r="H77" s="16">
        <v>2.2281210300000001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33.2403142</v>
      </c>
      <c r="F81" s="16">
        <v>2.1221199099999999</v>
      </c>
      <c r="G81" s="14">
        <v>66.7596858</v>
      </c>
      <c r="H81" s="16">
        <v>2.1221199099999999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28.66436143</v>
      </c>
      <c r="F7" s="16">
        <v>1.81280664</v>
      </c>
      <c r="G7" s="14">
        <v>71.33563857</v>
      </c>
      <c r="H7" s="16">
        <v>1.81280664</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22.639209340000001</v>
      </c>
      <c r="F8" s="16">
        <v>2.1457998300000001</v>
      </c>
      <c r="G8" s="14">
        <v>77.360790660000006</v>
      </c>
      <c r="H8" s="16">
        <v>2.1457998300000001</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31.468519010000001</v>
      </c>
      <c r="F9" s="16">
        <v>1.6166828900000001</v>
      </c>
      <c r="G9" s="14">
        <v>68.531480990000006</v>
      </c>
      <c r="H9" s="16">
        <v>1.6166828900000001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30.586909200000001</v>
      </c>
      <c r="F10" s="16">
        <v>1.62610937</v>
      </c>
      <c r="G10" s="14">
        <v>69.413090800000006</v>
      </c>
      <c r="H10" s="16">
        <v>1.62610937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39.928850920000002</v>
      </c>
      <c r="F11" s="16">
        <v>2.0898408900000001</v>
      </c>
      <c r="G11" s="14">
        <v>60.071149079999998</v>
      </c>
      <c r="H11" s="16">
        <v>2.0898408900000001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24.810370590000002</v>
      </c>
      <c r="F12" s="16">
        <v>1.8947920700000001</v>
      </c>
      <c r="G12" s="14">
        <v>75.189629409999995</v>
      </c>
      <c r="H12" s="16">
        <v>1.8947920700000001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20.451574220000001</v>
      </c>
      <c r="F13" s="16">
        <v>2.1253703800000001</v>
      </c>
      <c r="G13" s="14">
        <v>79.548425780000002</v>
      </c>
      <c r="H13" s="16">
        <v>2.1253703800000001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17.006408109999999</v>
      </c>
      <c r="F14" s="16">
        <v>1.94996952</v>
      </c>
      <c r="G14" s="14">
        <v>82.993591890000005</v>
      </c>
      <c r="H14" s="16">
        <v>1.94996952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25.11888283</v>
      </c>
      <c r="F15" s="16">
        <v>1.8063008199999999</v>
      </c>
      <c r="G15" s="14">
        <v>74.881117169999996</v>
      </c>
      <c r="H15" s="16">
        <v>1.8063008199999999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30.72653579</v>
      </c>
      <c r="F16" s="16">
        <v>1.95106991</v>
      </c>
      <c r="G16" s="14">
        <v>69.27346421</v>
      </c>
      <c r="H16" s="16">
        <v>1.95106991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28.580287309999999</v>
      </c>
      <c r="F17" s="16">
        <v>2.1224500800000001</v>
      </c>
      <c r="G17" s="14">
        <v>71.419712689999997</v>
      </c>
      <c r="H17" s="16">
        <v>2.1224500800000001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35.557199959999998</v>
      </c>
      <c r="F18" s="16">
        <v>2.24573972</v>
      </c>
      <c r="G18" s="14">
        <v>64.442800039999995</v>
      </c>
      <c r="H18" s="16">
        <v>2.24573972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31.326088410000001</v>
      </c>
      <c r="F19" s="16">
        <v>2.2716037</v>
      </c>
      <c r="G19" s="14">
        <v>68.673911590000003</v>
      </c>
      <c r="H19" s="16">
        <v>2.2716037</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30.52800942</v>
      </c>
      <c r="F20" s="16">
        <v>2.4771776000000001</v>
      </c>
      <c r="G20" s="14">
        <v>69.471990579999996</v>
      </c>
      <c r="H20" s="16">
        <v>2.4771776000000001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36.951325420000003</v>
      </c>
      <c r="F22" s="16">
        <v>2.6046492300000001</v>
      </c>
      <c r="G22" s="14">
        <v>63.048674579999997</v>
      </c>
      <c r="H22" s="16">
        <v>2.6046492300000001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21.969039670000001</v>
      </c>
      <c r="F23" s="16">
        <v>1.98443489</v>
      </c>
      <c r="G23" s="14">
        <v>78.030960329999999</v>
      </c>
      <c r="H23" s="16">
        <v>1.98443489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38.254719039999998</v>
      </c>
      <c r="F24" s="16">
        <v>2.63198394</v>
      </c>
      <c r="G24" s="14">
        <v>61.745280960000002</v>
      </c>
      <c r="H24" s="16">
        <v>2.63198394</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32.945242020000002</v>
      </c>
      <c r="F25" s="16">
        <v>2.2463765900000001</v>
      </c>
      <c r="G25" s="14">
        <v>67.054757980000005</v>
      </c>
      <c r="H25" s="16">
        <v>2.2463765900000001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19.872836509999999</v>
      </c>
      <c r="F26" s="16">
        <v>2.28979526</v>
      </c>
      <c r="G26" s="14">
        <v>80.127163490000001</v>
      </c>
      <c r="H26" s="16">
        <v>2.28979526</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36.02621413</v>
      </c>
      <c r="F27" s="16">
        <v>2.1675252</v>
      </c>
      <c r="G27" s="14">
        <v>63.97378587</v>
      </c>
      <c r="H27" s="16">
        <v>2.1675252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33.641801659999999</v>
      </c>
      <c r="F28" s="16">
        <v>2.1496984499999998</v>
      </c>
      <c r="G28" s="14">
        <v>66.358198340000001</v>
      </c>
      <c r="H28" s="16">
        <v>2.1496984499999998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19.90662639</v>
      </c>
      <c r="F29" s="16">
        <v>2.05697544</v>
      </c>
      <c r="G29" s="14">
        <v>80.09337361</v>
      </c>
      <c r="H29" s="16">
        <v>2.05697544</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27.199118949999999</v>
      </c>
      <c r="F30" s="16">
        <v>1.99207358</v>
      </c>
      <c r="G30" s="14">
        <v>72.800881050000001</v>
      </c>
      <c r="H30" s="16">
        <v>1.99207358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25.508736689999999</v>
      </c>
      <c r="F31" s="16">
        <v>2.13122407</v>
      </c>
      <c r="G31" s="14">
        <v>74.491263309999994</v>
      </c>
      <c r="H31" s="16">
        <v>2.13122407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16.88552061</v>
      </c>
      <c r="F33" s="16">
        <v>2.28624925</v>
      </c>
      <c r="G33" s="14">
        <v>83.11447939</v>
      </c>
      <c r="H33" s="16">
        <v>2.28624925</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28.145699619999998</v>
      </c>
      <c r="F34" s="16">
        <v>2.0154147500000001</v>
      </c>
      <c r="G34" s="14">
        <v>71.854300379999998</v>
      </c>
      <c r="H34" s="16">
        <v>2.0154147500000001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22.092614220000002</v>
      </c>
      <c r="F35" s="16">
        <v>1.89021353</v>
      </c>
      <c r="G35" s="14">
        <v>77.907385779999998</v>
      </c>
      <c r="H35" s="16">
        <v>1.89021353</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32.158325410000003</v>
      </c>
      <c r="F36" s="16">
        <v>1.9280750499999999</v>
      </c>
      <c r="G36" s="14">
        <v>67.841674589999997</v>
      </c>
      <c r="H36" s="16">
        <v>1.9280750499999999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25.792822309999998</v>
      </c>
      <c r="F37" s="16">
        <v>1.8717987899999999</v>
      </c>
      <c r="G37" s="14">
        <v>74.207177689999995</v>
      </c>
      <c r="H37" s="16">
        <v>1.8717987899999999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35.648406710000003</v>
      </c>
      <c r="F39" s="16">
        <v>2.4228805000000002</v>
      </c>
      <c r="G39" s="14">
        <v>64.351593289999997</v>
      </c>
      <c r="H39" s="16">
        <v>2.4228805000000002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33.276584210000003</v>
      </c>
      <c r="F40" s="16">
        <v>2.0429184199999999</v>
      </c>
      <c r="G40" s="14">
        <v>66.723415790000004</v>
      </c>
      <c r="H40" s="16">
        <v>2.0429184199999999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32.363891070000001</v>
      </c>
      <c r="F41" s="16">
        <v>2.1883714099999998</v>
      </c>
      <c r="G41" s="14">
        <v>67.636108930000006</v>
      </c>
      <c r="H41" s="16">
        <v>2.1883714099999998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28.626022849374991</v>
      </c>
      <c r="F42" s="16">
        <f>IF(COUNT(F7:F41) &gt; 0, SQRT(SUMSQ(F7:F41)/(COUNT(F7:F41)*COUNT(F7:F41)) ), "—")</f>
        <v>0.3727216726459906</v>
      </c>
      <c r="G42" s="14">
        <f>IF(COUNT(G7:G41) &gt; 0, AVERAGE(G7:G41), "—")</f>
        <v>71.373977150624995</v>
      </c>
      <c r="H42" s="16">
        <f>IF(COUNT(H7:H41) &gt; 0, SQRT(SUMSQ(H7:H41)/(COUNT(H7:H41)*COUNT(H7:H41)) ), "—")</f>
        <v>0.3727216726459906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38.826903299999998</v>
      </c>
      <c r="F46" s="16">
        <v>1.8260451</v>
      </c>
      <c r="G46" s="14">
        <v>61.173096700000002</v>
      </c>
      <c r="H46" s="16">
        <v>1.8260451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40.33271001</v>
      </c>
      <c r="F47" s="16">
        <v>2.64067104</v>
      </c>
      <c r="G47" s="14">
        <v>59.66728999</v>
      </c>
      <c r="H47" s="16">
        <v>2.64067104</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32.483624740000003</v>
      </c>
      <c r="F48" s="16">
        <v>2.0559939900000002</v>
      </c>
      <c r="G48" s="14">
        <v>67.516375260000004</v>
      </c>
      <c r="H48" s="16">
        <v>2.0559939900000002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34.42217222</v>
      </c>
      <c r="F50" s="16">
        <v>2.2522340999999999</v>
      </c>
      <c r="G50" s="14">
        <v>65.577827780000007</v>
      </c>
      <c r="H50" s="16">
        <v>2.2522340999999999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34.288152889999999</v>
      </c>
      <c r="F51" s="16">
        <v>2.72088997</v>
      </c>
      <c r="G51" s="14">
        <v>65.711847109999994</v>
      </c>
      <c r="H51" s="16">
        <v>2.72088997</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24.06233782</v>
      </c>
      <c r="F52" s="16">
        <v>2.2365811999999998</v>
      </c>
      <c r="G52" s="14">
        <v>75.937662180000004</v>
      </c>
      <c r="H52" s="16">
        <v>2.2365811999999998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42.110521169999998</v>
      </c>
      <c r="F53" s="16">
        <v>2.4061476599999998</v>
      </c>
      <c r="G53" s="14">
        <v>57.889478830000002</v>
      </c>
      <c r="H53" s="16">
        <v>2.4061476599999998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32.069996369999998</v>
      </c>
      <c r="F56" s="16">
        <v>2.4181988799999998</v>
      </c>
      <c r="G56" s="14">
        <v>67.930003630000002</v>
      </c>
      <c r="H56" s="16">
        <v>2.4181988799999998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27.406618529999999</v>
      </c>
      <c r="F61" s="16">
        <v>2.35629519</v>
      </c>
      <c r="G61" s="14">
        <v>72.593381469999997</v>
      </c>
      <c r="H61" s="16">
        <v>2.35629519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31.315790400000001</v>
      </c>
      <c r="F62" s="16">
        <v>2.682572</v>
      </c>
      <c r="G62" s="14">
        <v>68.684209600000003</v>
      </c>
      <c r="H62" s="16">
        <v>2.682572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52.752703760000003</v>
      </c>
      <c r="F66" s="16">
        <v>2.3211909400000001</v>
      </c>
      <c r="G66" s="14">
        <v>47.247296239999997</v>
      </c>
      <c r="H66" s="16">
        <v>2.3211909400000001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44.028248920000003</v>
      </c>
      <c r="F67" s="16">
        <v>2.1312120499999998</v>
      </c>
      <c r="G67" s="14">
        <v>55.971751079999997</v>
      </c>
      <c r="H67" s="16">
        <v>2.1312120499999998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28.821956419999999</v>
      </c>
      <c r="F70" s="16">
        <v>2.3895041099999998</v>
      </c>
      <c r="G70" s="14">
        <v>71.178043579999994</v>
      </c>
      <c r="H70" s="16">
        <v>2.3895041099999998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22.443823429999998</v>
      </c>
      <c r="F72" s="16">
        <v>1.6833130000000001</v>
      </c>
      <c r="G72" s="14">
        <v>77.556176570000005</v>
      </c>
      <c r="H72" s="16">
        <v>1.6833130000000001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47.255630379999999</v>
      </c>
      <c r="F73" s="16">
        <v>2.6391387800000001</v>
      </c>
      <c r="G73" s="14">
        <v>52.744369620000001</v>
      </c>
      <c r="H73" s="16">
        <v>2.6391387800000001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49.663424450000001</v>
      </c>
      <c r="F75" s="16">
        <v>2.86634974</v>
      </c>
      <c r="G75" s="14">
        <v>50.336575549999999</v>
      </c>
      <c r="H75" s="16">
        <v>2.86634974</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43.9553589</v>
      </c>
      <c r="F76" s="16">
        <v>1.6451712999999999</v>
      </c>
      <c r="G76" s="14">
        <v>56.0446411</v>
      </c>
      <c r="H76" s="16">
        <v>1.6451712999999999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36.578553030000002</v>
      </c>
      <c r="F77" s="16">
        <v>2.3408520799999999</v>
      </c>
      <c r="G77" s="14">
        <v>63.421446969999998</v>
      </c>
      <c r="H77" s="16">
        <v>2.3408520799999999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47.850651390000003</v>
      </c>
      <c r="F81" s="16">
        <v>2.1260544600000002</v>
      </c>
      <c r="G81" s="14">
        <v>52.149348609999997</v>
      </c>
      <c r="H81" s="16">
        <v>2.1260544600000002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(6183/B7*100)</f>
        <v>83.928329034885294</v>
      </c>
      <c r="D7" s="15">
        <v>1184</v>
      </c>
      <c r="E7" s="14">
        <v>26.23889535</v>
      </c>
      <c r="F7" s="16">
        <v>1.5171752599999999</v>
      </c>
      <c r="G7" s="14">
        <v>73.761104649999993</v>
      </c>
      <c r="H7" s="16">
        <v>1.5171752599999999</v>
      </c>
      <c r="I7" s="14" t="s">
        <v>139</v>
      </c>
      <c r="J7" s="16" t="s">
        <v>139</v>
      </c>
      <c r="K7" s="14">
        <v>0</v>
      </c>
      <c r="L7" s="16">
        <v>0</v>
      </c>
      <c r="M7" s="14">
        <v>0</v>
      </c>
      <c r="N7" s="16">
        <v>0</v>
      </c>
      <c r="O7" s="14">
        <v>0</v>
      </c>
      <c r="P7" s="16">
        <v>0</v>
      </c>
      <c r="Q7" s="14">
        <v>0</v>
      </c>
      <c r="R7" s="16">
        <v>0</v>
      </c>
    </row>
    <row r="8" spans="1:18" x14ac:dyDescent="0.25">
      <c r="A8" s="11" t="s">
        <v>140</v>
      </c>
      <c r="B8" s="13">
        <v>3564</v>
      </c>
      <c r="C8" s="14">
        <f>(2957/B8*100)</f>
        <v>82.968574635241296</v>
      </c>
      <c r="D8" s="15">
        <v>607</v>
      </c>
      <c r="E8" s="14">
        <v>24.87039833</v>
      </c>
      <c r="F8" s="16">
        <v>1.8877832400000001</v>
      </c>
      <c r="G8" s="14">
        <v>75.12960167</v>
      </c>
      <c r="H8" s="16">
        <v>1.8877832400000001</v>
      </c>
      <c r="I8" s="14" t="s">
        <v>139</v>
      </c>
      <c r="J8" s="16" t="s">
        <v>139</v>
      </c>
      <c r="K8" s="14">
        <v>0</v>
      </c>
      <c r="L8" s="16">
        <v>0</v>
      </c>
      <c r="M8" s="14">
        <v>0</v>
      </c>
      <c r="N8" s="16">
        <v>0</v>
      </c>
      <c r="O8" s="14">
        <v>0</v>
      </c>
      <c r="P8" s="16">
        <v>0</v>
      </c>
      <c r="Q8" s="14">
        <v>0</v>
      </c>
      <c r="R8" s="16">
        <v>0</v>
      </c>
    </row>
    <row r="9" spans="1:18" x14ac:dyDescent="0.25">
      <c r="A9" s="11" t="s">
        <v>141</v>
      </c>
      <c r="B9" s="13">
        <v>4899</v>
      </c>
      <c r="C9" s="14">
        <f>(4122/B9*100)</f>
        <v>84.139620330679733</v>
      </c>
      <c r="D9" s="15">
        <v>777</v>
      </c>
      <c r="E9" s="14">
        <v>22.179879</v>
      </c>
      <c r="F9" s="16">
        <v>1.33440811</v>
      </c>
      <c r="G9" s="14">
        <v>77.820121</v>
      </c>
      <c r="H9" s="16">
        <v>1.33440811</v>
      </c>
      <c r="I9" s="14" t="s">
        <v>139</v>
      </c>
      <c r="J9" s="16" t="s">
        <v>139</v>
      </c>
      <c r="K9" s="14">
        <v>0</v>
      </c>
      <c r="L9" s="16">
        <v>0</v>
      </c>
      <c r="M9" s="14">
        <v>0</v>
      </c>
      <c r="N9" s="16">
        <v>0</v>
      </c>
      <c r="O9" s="14">
        <v>0</v>
      </c>
      <c r="P9" s="16">
        <v>0</v>
      </c>
      <c r="Q9" s="14">
        <v>0</v>
      </c>
      <c r="R9" s="16">
        <v>0</v>
      </c>
    </row>
    <row r="10" spans="1:18" x14ac:dyDescent="0.25">
      <c r="A10" s="11" t="s">
        <v>142</v>
      </c>
      <c r="B10" s="13">
        <v>10036</v>
      </c>
      <c r="C10" s="14">
        <f>(8350/B10*100)</f>
        <v>83.200478278198489</v>
      </c>
      <c r="D10" s="15">
        <v>1686</v>
      </c>
      <c r="E10" s="14">
        <v>24.03738925</v>
      </c>
      <c r="F10" s="16">
        <v>1.6738128000000001</v>
      </c>
      <c r="G10" s="14">
        <v>75.962610749999996</v>
      </c>
      <c r="H10" s="16">
        <v>1.6738128000000001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(2947/B11*100)</f>
        <v>82.943990993526597</v>
      </c>
      <c r="D11" s="15">
        <v>606</v>
      </c>
      <c r="E11" s="14">
        <v>38.211176960000003</v>
      </c>
      <c r="F11" s="16">
        <v>2.03905593</v>
      </c>
      <c r="G11" s="14">
        <v>61.788823039999997</v>
      </c>
      <c r="H11" s="16">
        <v>2.03905593</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(2907/B12*100)</f>
        <v>83.726958525345623</v>
      </c>
      <c r="D12" s="15">
        <v>565</v>
      </c>
      <c r="E12" s="14">
        <v>27.717456039999998</v>
      </c>
      <c r="F12" s="16">
        <v>1.93807376</v>
      </c>
      <c r="G12" s="14">
        <v>72.282543959999998</v>
      </c>
      <c r="H12" s="16">
        <v>1.93807376</v>
      </c>
      <c r="I12" s="14" t="s">
        <v>139</v>
      </c>
      <c r="J12" s="16" t="s">
        <v>139</v>
      </c>
      <c r="K12" s="14">
        <v>0</v>
      </c>
      <c r="L12" s="16">
        <v>0</v>
      </c>
      <c r="M12" s="14">
        <v>0</v>
      </c>
      <c r="N12" s="16">
        <v>0</v>
      </c>
      <c r="O12" s="14">
        <v>0</v>
      </c>
      <c r="P12" s="16">
        <v>0</v>
      </c>
      <c r="Q12" s="14">
        <v>0</v>
      </c>
      <c r="R12" s="16">
        <v>0</v>
      </c>
    </row>
    <row r="13" spans="1:18" x14ac:dyDescent="0.25">
      <c r="A13" s="11" t="s">
        <v>145</v>
      </c>
      <c r="B13" s="13">
        <v>3559</v>
      </c>
      <c r="C13" s="14">
        <f>(3015/B13*100)</f>
        <v>84.714807530205121</v>
      </c>
      <c r="D13" s="15">
        <v>544</v>
      </c>
      <c r="E13" s="14">
        <v>19.642124979999998</v>
      </c>
      <c r="F13" s="16">
        <v>1.86314983</v>
      </c>
      <c r="G13" s="14">
        <v>80.357875019999994</v>
      </c>
      <c r="H13" s="16">
        <v>1.86314983</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(2328/B14*100)</f>
        <v>83.172561629153279</v>
      </c>
      <c r="D14" s="15">
        <v>471</v>
      </c>
      <c r="E14" s="14">
        <v>29.213111940000001</v>
      </c>
      <c r="F14" s="16">
        <v>2.3217960899999999</v>
      </c>
      <c r="G14" s="14">
        <v>70.786888059999995</v>
      </c>
      <c r="H14" s="16">
        <v>2.3217960899999999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33.537914839999999</v>
      </c>
      <c r="F15" s="16">
        <v>1.7727268899999999</v>
      </c>
      <c r="G15" s="14">
        <v>66.462085160000001</v>
      </c>
      <c r="H15" s="16">
        <v>1.7727268899999999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(2497/B16*100)</f>
        <v>83.316649983316651</v>
      </c>
      <c r="D16" s="15">
        <v>500</v>
      </c>
      <c r="E16" s="14">
        <v>27.39197089</v>
      </c>
      <c r="F16" s="16">
        <v>1.8096066500000001</v>
      </c>
      <c r="G16" s="14">
        <v>72.608029110000004</v>
      </c>
      <c r="H16" s="16">
        <v>1.8096066500000001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(2773/B17*100)</f>
        <v>83.852434230420329</v>
      </c>
      <c r="D17" s="15">
        <v>534</v>
      </c>
      <c r="E17" s="14">
        <v>26.59522733</v>
      </c>
      <c r="F17" s="16">
        <v>1.8681502299999999</v>
      </c>
      <c r="G17" s="14">
        <v>73.40477267</v>
      </c>
      <c r="H17" s="16">
        <v>1.8681502299999999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33.772958459999998</v>
      </c>
      <c r="F18" s="16">
        <v>2.37920694</v>
      </c>
      <c r="G18" s="14">
        <v>66.227041540000002</v>
      </c>
      <c r="H18" s="16">
        <v>2.37920694</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(2347/B19*100)</f>
        <v>83.582621082621074</v>
      </c>
      <c r="D19" s="15">
        <v>461</v>
      </c>
      <c r="E19" s="14">
        <v>42.828964970000001</v>
      </c>
      <c r="F19" s="16">
        <v>2.1023671300000002</v>
      </c>
      <c r="G19" s="14">
        <v>57.171035029999999</v>
      </c>
      <c r="H19" s="16">
        <v>2.1023671300000002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(1358/B20*100)</f>
        <v>83.312883435582819</v>
      </c>
      <c r="D20" s="15">
        <v>272</v>
      </c>
      <c r="E20" s="14">
        <v>26.643176629999999</v>
      </c>
      <c r="F20" s="16">
        <v>2.9059242599999999</v>
      </c>
      <c r="G20" s="14">
        <v>73.356823370000001</v>
      </c>
      <c r="H20" s="16">
        <v>2.9059242599999999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(2455/B22*100)</f>
        <v>83.7598089389287</v>
      </c>
      <c r="D22" s="15">
        <v>476</v>
      </c>
      <c r="E22" s="14">
        <v>36.024089429999997</v>
      </c>
      <c r="F22" s="16">
        <v>2.73390705</v>
      </c>
      <c r="G22" s="14">
        <v>63.975910570000003</v>
      </c>
      <c r="H22" s="16">
        <v>2.73390705</v>
      </c>
      <c r="I22" s="14" t="s">
        <v>139</v>
      </c>
      <c r="J22" s="16" t="s">
        <v>139</v>
      </c>
      <c r="K22" s="14">
        <v>0</v>
      </c>
      <c r="L22" s="16">
        <v>0</v>
      </c>
      <c r="M22" s="14">
        <v>0</v>
      </c>
      <c r="N22" s="16">
        <v>0</v>
      </c>
      <c r="O22" s="14">
        <v>0</v>
      </c>
      <c r="P22" s="16">
        <v>0</v>
      </c>
      <c r="Q22" s="14">
        <v>0</v>
      </c>
      <c r="R22" s="16">
        <v>0</v>
      </c>
    </row>
    <row r="23" spans="1:18" x14ac:dyDescent="0.25">
      <c r="A23" s="11" t="s">
        <v>156</v>
      </c>
      <c r="B23" s="13">
        <v>5791</v>
      </c>
      <c r="C23" s="14">
        <f>(4808/B23*100)</f>
        <v>83.02538421688827</v>
      </c>
      <c r="D23" s="15">
        <v>983</v>
      </c>
      <c r="E23" s="14">
        <v>25.717489350000001</v>
      </c>
      <c r="F23" s="16">
        <v>1.83034484</v>
      </c>
      <c r="G23" s="14">
        <v>74.282510650000006</v>
      </c>
      <c r="H23" s="16">
        <v>1.83034484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(2758/B24*100)</f>
        <v>82.624325943678841</v>
      </c>
      <c r="D24" s="15">
        <v>580</v>
      </c>
      <c r="E24" s="14">
        <v>35.805324210000002</v>
      </c>
      <c r="F24" s="16">
        <v>2.0326897399999999</v>
      </c>
      <c r="G24" s="14">
        <v>64.194675790000005</v>
      </c>
      <c r="H24" s="16">
        <v>2.0326897399999999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(2397/B25*100)</f>
        <v>82.314560439560438</v>
      </c>
      <c r="D25" s="15">
        <v>515</v>
      </c>
      <c r="E25" s="14">
        <v>44.77559428</v>
      </c>
      <c r="F25" s="16">
        <v>2.25974685</v>
      </c>
      <c r="G25" s="14">
        <v>55.22440572</v>
      </c>
      <c r="H25" s="16">
        <v>2.25974685</v>
      </c>
      <c r="I25" s="14" t="s">
        <v>139</v>
      </c>
      <c r="J25" s="16" t="s">
        <v>139</v>
      </c>
      <c r="K25" s="14">
        <v>0</v>
      </c>
      <c r="L25" s="16">
        <v>0</v>
      </c>
      <c r="M25" s="14">
        <v>0</v>
      </c>
      <c r="N25" s="16">
        <v>0</v>
      </c>
      <c r="O25" s="14">
        <v>0</v>
      </c>
      <c r="P25" s="16">
        <v>0</v>
      </c>
      <c r="Q25" s="14">
        <v>0</v>
      </c>
      <c r="R25" s="16">
        <v>0</v>
      </c>
    </row>
    <row r="26" spans="1:18" x14ac:dyDescent="0.25">
      <c r="A26" s="11" t="s">
        <v>159</v>
      </c>
      <c r="B26" s="13">
        <v>2450</v>
      </c>
      <c r="C26" s="14">
        <f>(2037/B26*100)</f>
        <v>83.142857142857139</v>
      </c>
      <c r="D26" s="15">
        <v>413</v>
      </c>
      <c r="E26" s="14">
        <v>33.038134239999998</v>
      </c>
      <c r="F26" s="16">
        <v>2.4784669899999998</v>
      </c>
      <c r="G26" s="14">
        <v>66.961865759999995</v>
      </c>
      <c r="H26" s="16">
        <v>2.4784669899999998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(2187/B27*100)</f>
        <v>83.600917431192656</v>
      </c>
      <c r="D27" s="15">
        <v>429</v>
      </c>
      <c r="E27" s="14">
        <v>32.886315660000001</v>
      </c>
      <c r="F27" s="16">
        <v>2.2710711799999999</v>
      </c>
      <c r="G27" s="14">
        <v>67.113684340000006</v>
      </c>
      <c r="H27" s="16">
        <v>2.2710711799999999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(3210/B28*100)</f>
        <v>85.258964143426297</v>
      </c>
      <c r="D28" s="15">
        <v>555</v>
      </c>
      <c r="E28" s="14">
        <v>39.248873920000001</v>
      </c>
      <c r="F28" s="16">
        <v>2.6078692600000002</v>
      </c>
      <c r="G28" s="14">
        <v>60.751126079999999</v>
      </c>
      <c r="H28" s="16">
        <v>2.6078692600000002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19.999640880000001</v>
      </c>
      <c r="F29" s="16">
        <v>1.6677610899999999</v>
      </c>
      <c r="G29" s="14">
        <v>80.000359119999999</v>
      </c>
      <c r="H29" s="16">
        <v>1.6677610899999999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(1885/B30*100)</f>
        <v>83.296509058771534</v>
      </c>
      <c r="D30" s="15">
        <v>378</v>
      </c>
      <c r="E30" s="14">
        <v>23.796002120000001</v>
      </c>
      <c r="F30" s="16">
        <v>2.08010816</v>
      </c>
      <c r="G30" s="14">
        <v>76.203997880000003</v>
      </c>
      <c r="H30" s="16">
        <v>2.08010816</v>
      </c>
      <c r="I30" s="14" t="s">
        <v>139</v>
      </c>
      <c r="J30" s="16" t="s">
        <v>139</v>
      </c>
      <c r="K30" s="14">
        <v>0</v>
      </c>
      <c r="L30" s="16">
        <v>0</v>
      </c>
      <c r="M30" s="14">
        <v>0</v>
      </c>
      <c r="N30" s="16">
        <v>0</v>
      </c>
      <c r="O30" s="14">
        <v>0</v>
      </c>
      <c r="P30" s="16">
        <v>0</v>
      </c>
      <c r="Q30" s="14">
        <v>0</v>
      </c>
      <c r="R30" s="16">
        <v>0</v>
      </c>
    </row>
    <row r="31" spans="1:18" x14ac:dyDescent="0.25">
      <c r="A31" s="11" t="s">
        <v>164</v>
      </c>
      <c r="B31" s="13">
        <v>2750</v>
      </c>
      <c r="C31" s="14">
        <f>(2281/B31*100)</f>
        <v>82.945454545454538</v>
      </c>
      <c r="D31" s="15">
        <v>469</v>
      </c>
      <c r="E31" s="14">
        <v>23.324539510000001</v>
      </c>
      <c r="F31" s="16">
        <v>1.8555823600000001</v>
      </c>
      <c r="G31" s="14">
        <v>76.675460490000006</v>
      </c>
      <c r="H31" s="16">
        <v>1.8555823600000001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(3059/B33*100)</f>
        <v>83.260751224823082</v>
      </c>
      <c r="D33" s="15">
        <v>615</v>
      </c>
      <c r="E33" s="14">
        <v>22.502725609999999</v>
      </c>
      <c r="F33" s="16">
        <v>2.2093437100000002</v>
      </c>
      <c r="G33" s="14">
        <v>77.497274390000001</v>
      </c>
      <c r="H33" s="16">
        <v>2.2093437100000002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(2769/B34*100)</f>
        <v>83.529411764705884</v>
      </c>
      <c r="D34" s="15">
        <v>546</v>
      </c>
      <c r="E34" s="14">
        <v>30.19125648</v>
      </c>
      <c r="F34" s="16">
        <v>2.2787305400000002</v>
      </c>
      <c r="G34" s="14">
        <v>69.808743519999993</v>
      </c>
      <c r="H34" s="16">
        <v>2.2787305400000002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(2917/B35*100)</f>
        <v>83.223965763195437</v>
      </c>
      <c r="D35" s="15">
        <v>588</v>
      </c>
      <c r="E35" s="14">
        <v>23.25212969</v>
      </c>
      <c r="F35" s="16">
        <v>2.0605610599999999</v>
      </c>
      <c r="G35" s="14">
        <v>76.747870309999996</v>
      </c>
      <c r="H35" s="16">
        <v>2.0605610599999999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(2805/B36*100)</f>
        <v>84.183673469387756</v>
      </c>
      <c r="D36" s="15">
        <v>527</v>
      </c>
      <c r="E36" s="14">
        <v>27.98681843</v>
      </c>
      <c r="F36" s="16">
        <v>1.9727383199999999</v>
      </c>
      <c r="G36" s="14">
        <v>72.01318157</v>
      </c>
      <c r="H36" s="16">
        <v>1.9727383199999999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(2259/B37*100)</f>
        <v>82.838283828382842</v>
      </c>
      <c r="D37" s="15">
        <v>468</v>
      </c>
      <c r="E37" s="14">
        <v>22.383099609999999</v>
      </c>
      <c r="F37" s="16">
        <v>2.3735136200000002</v>
      </c>
      <c r="G37" s="14">
        <v>77.616900389999998</v>
      </c>
      <c r="H37" s="16">
        <v>2.3735136200000002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47.56889048</v>
      </c>
      <c r="F39" s="16">
        <v>2.31347075</v>
      </c>
      <c r="G39" s="14">
        <v>52.43110952</v>
      </c>
      <c r="H39" s="16">
        <v>2.31347075</v>
      </c>
      <c r="I39" s="14" t="s">
        <v>139</v>
      </c>
      <c r="J39" s="16" t="s">
        <v>139</v>
      </c>
      <c r="K39" s="14">
        <v>0</v>
      </c>
      <c r="L39" s="16">
        <v>0</v>
      </c>
      <c r="M39" s="14">
        <v>0</v>
      </c>
      <c r="N39" s="16">
        <v>0</v>
      </c>
      <c r="O39" s="14">
        <v>0</v>
      </c>
      <c r="P39" s="16">
        <v>0</v>
      </c>
      <c r="Q39" s="14">
        <v>0</v>
      </c>
      <c r="R39" s="16">
        <v>0</v>
      </c>
    </row>
    <row r="40" spans="1:18" x14ac:dyDescent="0.25">
      <c r="A40" s="11" t="s">
        <v>173</v>
      </c>
      <c r="B40" s="13">
        <v>7235</v>
      </c>
      <c r="C40" s="14">
        <f>(5982/B40*100)</f>
        <v>82.681409813407043</v>
      </c>
      <c r="D40" s="15">
        <v>1253</v>
      </c>
      <c r="E40" s="14">
        <v>25.288679120000001</v>
      </c>
      <c r="F40" s="16">
        <v>1.92006272</v>
      </c>
      <c r="G40" s="14">
        <v>74.711320880000002</v>
      </c>
      <c r="H40" s="16">
        <v>1.92006272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(2385/B41*100)</f>
        <v>83.449965010496854</v>
      </c>
      <c r="D41" s="15">
        <v>473</v>
      </c>
      <c r="E41" s="14">
        <v>26.389379649999999</v>
      </c>
      <c r="F41" s="16">
        <v>2.26962799</v>
      </c>
      <c r="G41" s="14">
        <v>73.610620350000005</v>
      </c>
      <c r="H41" s="16">
        <v>2.26962799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83.356382083578168</v>
      </c>
      <c r="D42" s="15">
        <f>IF(COUNT(D7:D41) &gt; 0, AVERAGE(D7:D41), "—")</f>
        <v>607.65625</v>
      </c>
      <c r="E42" s="14">
        <f>IF(COUNT(E7:E41) &gt; 0, AVERAGE(E7:E41), "—")</f>
        <v>29.470613363750005</v>
      </c>
      <c r="F42" s="16">
        <f>IF(COUNT(F7:F41) &gt; 0, SQRT(SUMSQ(F7:F41)/(COUNT(F7:F41)*COUNT(F7:F41)) ), "—")</f>
        <v>0.37291957177451696</v>
      </c>
      <c r="G42" s="14">
        <f>IF(COUNT(G7:G41) &gt; 0, AVERAGE(G7:G41), "—")</f>
        <v>70.529386636249995</v>
      </c>
      <c r="H42" s="16">
        <f>IF(COUNT(H7:H41) &gt; 0, SQRT(SUMSQ(H7:H41)/(COUNT(H7:H41)*COUNT(H7:H41)) ), "—")</f>
        <v>0.37291957177451696</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(9746/B46*100)</f>
        <v>88.05565594506686</v>
      </c>
      <c r="D46" s="15">
        <v>1322</v>
      </c>
      <c r="E46" s="14">
        <v>45.90271405</v>
      </c>
      <c r="F46" s="16">
        <v>1.78235034</v>
      </c>
      <c r="G46" s="14">
        <v>54.09728595</v>
      </c>
      <c r="H46" s="16">
        <v>1.78235034</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(2614/B47*100)</f>
        <v>84.186795491143315</v>
      </c>
      <c r="D47" s="15">
        <v>491</v>
      </c>
      <c r="E47" s="14">
        <v>38.255205420000003</v>
      </c>
      <c r="F47" s="16">
        <v>2.4842095500000001</v>
      </c>
      <c r="G47" s="14">
        <v>61.744794579999997</v>
      </c>
      <c r="H47" s="16">
        <v>2.4842095500000001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(4263/B48*100)</f>
        <v>82.632293080054282</v>
      </c>
      <c r="D48" s="15">
        <v>896</v>
      </c>
      <c r="E48" s="14">
        <v>38.767608459999998</v>
      </c>
      <c r="F48" s="16">
        <v>2.2439561700000001</v>
      </c>
      <c r="G48" s="14">
        <v>61.232391540000002</v>
      </c>
      <c r="H48" s="16">
        <v>2.2439561700000001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(4745/B50*100)</f>
        <v>84.175980131275495</v>
      </c>
      <c r="D50" s="15">
        <v>892</v>
      </c>
      <c r="E50" s="14">
        <v>40.88398076</v>
      </c>
      <c r="F50" s="16">
        <v>2.5517167000000001</v>
      </c>
      <c r="G50" s="14">
        <v>59.11601924</v>
      </c>
      <c r="H50" s="16">
        <v>2.5517167000000001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(2903/B51*100)</f>
        <v>86.091340450771057</v>
      </c>
      <c r="D51" s="15">
        <v>469</v>
      </c>
      <c r="E51" s="14">
        <v>37.244432609999997</v>
      </c>
      <c r="F51" s="16">
        <v>2.6304619900000001</v>
      </c>
      <c r="G51" s="14">
        <v>62.755567390000003</v>
      </c>
      <c r="H51" s="16">
        <v>2.6304619900000001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(2344/B52*100)</f>
        <v>83.834048640915597</v>
      </c>
      <c r="D52" s="15">
        <v>452</v>
      </c>
      <c r="E52" s="14">
        <v>22.99167572</v>
      </c>
      <c r="F52" s="16">
        <v>1.96951067</v>
      </c>
      <c r="G52" s="14">
        <v>77.008324279999997</v>
      </c>
      <c r="H52" s="16">
        <v>1.96951067</v>
      </c>
      <c r="I52" s="14" t="s">
        <v>139</v>
      </c>
      <c r="J52" s="16" t="s">
        <v>139</v>
      </c>
      <c r="K52" s="14">
        <v>0</v>
      </c>
      <c r="L52" s="16">
        <v>0</v>
      </c>
      <c r="M52" s="14">
        <v>0</v>
      </c>
      <c r="N52" s="16">
        <v>0</v>
      </c>
      <c r="O52" s="14">
        <v>0</v>
      </c>
      <c r="P52" s="16">
        <v>0</v>
      </c>
      <c r="Q52" s="14">
        <v>0</v>
      </c>
      <c r="R52" s="16">
        <v>0</v>
      </c>
    </row>
    <row r="53" spans="1:18" x14ac:dyDescent="0.25">
      <c r="A53" s="11" t="s">
        <v>186</v>
      </c>
      <c r="B53" s="13">
        <v>2811</v>
      </c>
      <c r="C53" s="14">
        <f>(2321/B53*100)</f>
        <v>82.568480967627181</v>
      </c>
      <c r="D53" s="15">
        <v>490</v>
      </c>
      <c r="E53" s="14">
        <v>43.25147072</v>
      </c>
      <c r="F53" s="16">
        <v>2.4991827600000001</v>
      </c>
      <c r="G53" s="14">
        <v>56.74852928</v>
      </c>
      <c r="H53" s="16">
        <v>2.4991827600000001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(2209/B56*100)</f>
        <v>82.302533532041735</v>
      </c>
      <c r="D56" s="15">
        <v>475</v>
      </c>
      <c r="E56" s="14">
        <v>22.609843300000001</v>
      </c>
      <c r="F56" s="16">
        <v>1.89977357</v>
      </c>
      <c r="G56" s="14">
        <v>77.390156700000006</v>
      </c>
      <c r="H56" s="16">
        <v>1.89977357</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(2782/B61*100)</f>
        <v>83.694344163658243</v>
      </c>
      <c r="D61" s="15">
        <v>542</v>
      </c>
      <c r="E61" s="14">
        <v>29.737212639999999</v>
      </c>
      <c r="F61" s="16">
        <v>2.1289215100000001</v>
      </c>
      <c r="G61" s="14">
        <v>70.262787360000004</v>
      </c>
      <c r="H61" s="16">
        <v>2.1289215100000001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(1882/B62*100)</f>
        <v>83.793410507569007</v>
      </c>
      <c r="D62" s="15">
        <v>364</v>
      </c>
      <c r="E62" s="14">
        <v>23.398486479999999</v>
      </c>
      <c r="F62" s="16">
        <v>2.2465612099999999</v>
      </c>
      <c r="G62" s="14">
        <v>76.601513519999997</v>
      </c>
      <c r="H62" s="16">
        <v>2.2465612099999999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(2432/B66*100)</f>
        <v>84.035936420179681</v>
      </c>
      <c r="D66" s="15">
        <v>462</v>
      </c>
      <c r="E66" s="14">
        <v>46.533189970000002</v>
      </c>
      <c r="F66" s="16">
        <v>2.2068642399999998</v>
      </c>
      <c r="G66" s="14">
        <v>53.466810029999998</v>
      </c>
      <c r="H66" s="16">
        <v>2.2068642399999998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(2986/B67*100)</f>
        <v>85.046995158074623</v>
      </c>
      <c r="D67" s="15">
        <v>525</v>
      </c>
      <c r="E67" s="14">
        <v>48.11492475</v>
      </c>
      <c r="F67" s="16">
        <v>2.34388854</v>
      </c>
      <c r="G67" s="14">
        <v>51.88507525</v>
      </c>
      <c r="H67" s="16">
        <v>2.34388854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(2450/B70*100)</f>
        <v>83.646295664049163</v>
      </c>
      <c r="D70" s="15">
        <v>479</v>
      </c>
      <c r="E70" s="14">
        <v>29.27175201</v>
      </c>
      <c r="F70" s="16">
        <v>2.4260968799999998</v>
      </c>
      <c r="G70" s="14">
        <v>70.72824799</v>
      </c>
      <c r="H70" s="16">
        <v>2.4260968799999998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(3226/B72*100)</f>
        <v>82.951915659552583</v>
      </c>
      <c r="D72" s="15">
        <v>663</v>
      </c>
      <c r="E72" s="14">
        <v>34.925480270000001</v>
      </c>
      <c r="F72" s="16">
        <v>1.9052031700000001</v>
      </c>
      <c r="G72" s="14">
        <v>65.074519730000006</v>
      </c>
      <c r="H72" s="16">
        <v>1.9052031700000001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64.60935662</v>
      </c>
      <c r="F73" s="16">
        <v>2.7236757800000002</v>
      </c>
      <c r="G73" s="14">
        <v>35.39064338</v>
      </c>
      <c r="H73" s="16">
        <v>2.7236757800000002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(2060/B75*100)</f>
        <v>85.619285120532012</v>
      </c>
      <c r="D75" s="15">
        <v>346</v>
      </c>
      <c r="E75" s="14">
        <v>61.143409630000001</v>
      </c>
      <c r="F75" s="16">
        <v>2.6686117199999999</v>
      </c>
      <c r="G75" s="14">
        <v>38.856590369999999</v>
      </c>
      <c r="H75" s="16">
        <v>2.6686117199999999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(5836/B76*100)</f>
        <v>82.756664775950085</v>
      </c>
      <c r="D76" s="15">
        <v>1216</v>
      </c>
      <c r="E76" s="14">
        <v>48.907122409999999</v>
      </c>
      <c r="F76" s="16">
        <v>1.7205963799999999</v>
      </c>
      <c r="G76" s="14">
        <v>51.092877590000001</v>
      </c>
      <c r="H76" s="16">
        <v>1.7205963799999999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(2427/B77*100)</f>
        <v>83.459422283356261</v>
      </c>
      <c r="D77" s="15">
        <v>481</v>
      </c>
      <c r="E77" s="14">
        <v>40.889710229999999</v>
      </c>
      <c r="F77" s="16">
        <v>2.0295025099999999</v>
      </c>
      <c r="G77" s="14">
        <v>59.110289770000001</v>
      </c>
      <c r="H77" s="16">
        <v>2.0295025099999999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(3473/B81*100)</f>
        <v>83.425414364640886</v>
      </c>
      <c r="D81" s="15">
        <v>690</v>
      </c>
      <c r="E81" s="14">
        <v>10.76610921</v>
      </c>
      <c r="F81" s="16">
        <v>1.9187022899999999</v>
      </c>
      <c r="G81" s="14">
        <v>10.256689120000001</v>
      </c>
      <c r="H81" s="16">
        <v>1.61115366</v>
      </c>
      <c r="I81" s="14" t="s">
        <v>139</v>
      </c>
      <c r="J81" s="16" t="s">
        <v>139</v>
      </c>
      <c r="K81" s="14">
        <v>0</v>
      </c>
      <c r="L81" s="16">
        <v>0</v>
      </c>
      <c r="M81" s="14">
        <v>78.977201669999999</v>
      </c>
      <c r="N81" s="16">
        <v>3.0945014999999998</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289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35.056933839999999</v>
      </c>
      <c r="F7" s="16">
        <v>1.82925198</v>
      </c>
      <c r="G7" s="14">
        <v>64.943066160000001</v>
      </c>
      <c r="H7" s="16">
        <v>1.82925198</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38.592143989999997</v>
      </c>
      <c r="F8" s="16">
        <v>2.2317207699999999</v>
      </c>
      <c r="G8" s="14">
        <v>61.407856010000003</v>
      </c>
      <c r="H8" s="16">
        <v>2.2317207699999999</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44.196307529999999</v>
      </c>
      <c r="F9" s="16">
        <v>1.87624407</v>
      </c>
      <c r="G9" s="14">
        <v>55.803692470000001</v>
      </c>
      <c r="H9" s="16">
        <v>1.87624407</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32.265878520000001</v>
      </c>
      <c r="F10" s="16">
        <v>1.5657027100000001</v>
      </c>
      <c r="G10" s="14">
        <v>67.734121479999999</v>
      </c>
      <c r="H10" s="16">
        <v>1.5657027100000001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52.040603910000002</v>
      </c>
      <c r="F11" s="16">
        <v>2.4835161800000001</v>
      </c>
      <c r="G11" s="14">
        <v>47.959396089999998</v>
      </c>
      <c r="H11" s="16">
        <v>2.4835161800000001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51.903300639999998</v>
      </c>
      <c r="F12" s="16">
        <v>2.2081762299999999</v>
      </c>
      <c r="G12" s="14">
        <v>48.096699360000002</v>
      </c>
      <c r="H12" s="16">
        <v>2.2081762299999999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37.755176089999999</v>
      </c>
      <c r="F13" s="16">
        <v>2.8868782199999998</v>
      </c>
      <c r="G13" s="14">
        <v>62.244823910000001</v>
      </c>
      <c r="H13" s="16">
        <v>2.8868782199999998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34.676122659999997</v>
      </c>
      <c r="F14" s="16">
        <v>2.3952012499999999</v>
      </c>
      <c r="G14" s="14">
        <v>65.323877339999996</v>
      </c>
      <c r="H14" s="16">
        <v>2.3952012499999999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28.244068540000001</v>
      </c>
      <c r="F15" s="16">
        <v>2.2909356700000001</v>
      </c>
      <c r="G15" s="14">
        <v>71.755931459999999</v>
      </c>
      <c r="H15" s="16">
        <v>2.2909356700000001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44.511671210000003</v>
      </c>
      <c r="F16" s="16">
        <v>2.3215883499999999</v>
      </c>
      <c r="G16" s="14">
        <v>55.488328789999997</v>
      </c>
      <c r="H16" s="16">
        <v>2.3215883499999999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41.401405029999999</v>
      </c>
      <c r="F17" s="16">
        <v>2.7288359099999999</v>
      </c>
      <c r="G17" s="14">
        <v>58.598594970000001</v>
      </c>
      <c r="H17" s="16">
        <v>2.7288359099999999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63.966393549999999</v>
      </c>
      <c r="F18" s="16">
        <v>2.0197360999999998</v>
      </c>
      <c r="G18" s="14">
        <v>36.033606450000001</v>
      </c>
      <c r="H18" s="16">
        <v>2.0197360999999998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54.206342739999997</v>
      </c>
      <c r="F19" s="16">
        <v>2.4865130899999999</v>
      </c>
      <c r="G19" s="14">
        <v>45.793657260000003</v>
      </c>
      <c r="H19" s="16">
        <v>2.4865130899999999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40.913467930000003</v>
      </c>
      <c r="F20" s="16">
        <v>3.28927243</v>
      </c>
      <c r="G20" s="14">
        <v>59.086532069999997</v>
      </c>
      <c r="H20" s="16">
        <v>3.28927243</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56.634609240000003</v>
      </c>
      <c r="F22" s="16">
        <v>2.00843792</v>
      </c>
      <c r="G22" s="14">
        <v>43.365390759999997</v>
      </c>
      <c r="H22" s="16">
        <v>2.00843792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51.82004963</v>
      </c>
      <c r="F23" s="16">
        <v>2.3477164799999999</v>
      </c>
      <c r="G23" s="14">
        <v>48.17995037</v>
      </c>
      <c r="H23" s="16">
        <v>2.3477164799999999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21.058194700000001</v>
      </c>
      <c r="F24" s="16">
        <v>1.8584046000000001</v>
      </c>
      <c r="G24" s="14">
        <v>78.941805299999999</v>
      </c>
      <c r="H24" s="16">
        <v>1.8584046000000001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33.702665809999999</v>
      </c>
      <c r="F25" s="16">
        <v>2.39416589</v>
      </c>
      <c r="G25" s="14">
        <v>66.297334190000001</v>
      </c>
      <c r="H25" s="16">
        <v>2.39416589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57.743478779999997</v>
      </c>
      <c r="F26" s="16">
        <v>2.5617890600000002</v>
      </c>
      <c r="G26" s="14">
        <v>42.256521220000003</v>
      </c>
      <c r="H26" s="16">
        <v>2.5617890600000002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47.967339209999999</v>
      </c>
      <c r="F27" s="16">
        <v>2.3667235500000001</v>
      </c>
      <c r="G27" s="14">
        <v>52.032660790000001</v>
      </c>
      <c r="H27" s="16">
        <v>2.3667235500000001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69.552245639999995</v>
      </c>
      <c r="F28" s="16">
        <v>2.2667433300000002</v>
      </c>
      <c r="G28" s="14">
        <v>30.447754360000001</v>
      </c>
      <c r="H28" s="16">
        <v>2.2667433300000002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36.911928840000002</v>
      </c>
      <c r="F29" s="16">
        <v>2.37178187</v>
      </c>
      <c r="G29" s="14">
        <v>63.088071159999998</v>
      </c>
      <c r="H29" s="16">
        <v>2.37178187</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33.568385560000003</v>
      </c>
      <c r="F30" s="16">
        <v>2.7074942000000002</v>
      </c>
      <c r="G30" s="14">
        <v>66.431614440000004</v>
      </c>
      <c r="H30" s="16">
        <v>2.7074942000000002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38.216932720000003</v>
      </c>
      <c r="F31" s="16">
        <v>2.81253273</v>
      </c>
      <c r="G31" s="14">
        <v>61.783067279999997</v>
      </c>
      <c r="H31" s="16">
        <v>2.81253273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43.231346780000003</v>
      </c>
      <c r="F33" s="16">
        <v>2.4161994299999998</v>
      </c>
      <c r="G33" s="14">
        <v>56.768653219999997</v>
      </c>
      <c r="H33" s="16">
        <v>2.4161994299999998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65.394940399999996</v>
      </c>
      <c r="F34" s="16">
        <v>1.91810535</v>
      </c>
      <c r="G34" s="14">
        <v>34.605059599999997</v>
      </c>
      <c r="H34" s="16">
        <v>1.91810535</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45.299127740000003</v>
      </c>
      <c r="F35" s="16">
        <v>2.5747220099999999</v>
      </c>
      <c r="G35" s="14">
        <v>54.700872259999997</v>
      </c>
      <c r="H35" s="16">
        <v>2.5747220099999999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48.139113289999997</v>
      </c>
      <c r="F36" s="16">
        <v>2.3944297799999998</v>
      </c>
      <c r="G36" s="14">
        <v>51.860886710000003</v>
      </c>
      <c r="H36" s="16">
        <v>2.3944297799999998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44.96214019</v>
      </c>
      <c r="F37" s="16">
        <v>2.5695951500000001</v>
      </c>
      <c r="G37" s="14">
        <v>55.03785981</v>
      </c>
      <c r="H37" s="16">
        <v>2.5695951500000001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65.945026319999997</v>
      </c>
      <c r="F39" s="16">
        <v>2.5969678300000001</v>
      </c>
      <c r="G39" s="14">
        <v>34.054973680000003</v>
      </c>
      <c r="H39" s="16">
        <v>2.5969678300000001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35.364818669999998</v>
      </c>
      <c r="F40" s="16">
        <v>2.0581076399999998</v>
      </c>
      <c r="G40" s="14">
        <v>64.635181329999995</v>
      </c>
      <c r="H40" s="16">
        <v>2.0581076399999998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33.708830149999997</v>
      </c>
      <c r="F41" s="16">
        <v>2.1904894600000002</v>
      </c>
      <c r="G41" s="14">
        <v>66.291169850000003</v>
      </c>
      <c r="H41" s="16">
        <v>2.1904894600000002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44.654718432812494</v>
      </c>
      <c r="F42" s="16">
        <f>IF(COUNT(F7:F41) &gt; 0, SQRT(SUMSQ(F7:F41)/(COUNT(F7:F41)*COUNT(F7:F41)) ), "—")</f>
        <v>0.4189598702055064</v>
      </c>
      <c r="G42" s="14">
        <f>IF(COUNT(G7:G41) &gt; 0, AVERAGE(G7:G41), "—")</f>
        <v>55.345281567187506</v>
      </c>
      <c r="H42" s="16">
        <f>IF(COUNT(H7:H41) &gt; 0, SQRT(SUMSQ(H7:H41)/(COUNT(H7:H41)*COUNT(H7:H41)) ), "—")</f>
        <v>0.4189598702055064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61.641377419999998</v>
      </c>
      <c r="F46" s="16">
        <v>1.9015146599999999</v>
      </c>
      <c r="G46" s="14">
        <v>38.358622580000002</v>
      </c>
      <c r="H46" s="16">
        <v>1.9015146599999999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59.633428530000003</v>
      </c>
      <c r="F47" s="16">
        <v>2.2189041899999999</v>
      </c>
      <c r="G47" s="14">
        <v>40.366571469999997</v>
      </c>
      <c r="H47" s="16">
        <v>2.2189041899999999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50.616701949999999</v>
      </c>
      <c r="F48" s="16">
        <v>2.52690321</v>
      </c>
      <c r="G48" s="14">
        <v>49.383298050000001</v>
      </c>
      <c r="H48" s="16">
        <v>2.52690321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66.020745270000006</v>
      </c>
      <c r="F50" s="16">
        <v>2.1493661899999998</v>
      </c>
      <c r="G50" s="14">
        <v>33.979254730000001</v>
      </c>
      <c r="H50" s="16">
        <v>2.1493661899999998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59.03346621</v>
      </c>
      <c r="F51" s="16">
        <v>2.5212689400000001</v>
      </c>
      <c r="G51" s="14">
        <v>40.96653379</v>
      </c>
      <c r="H51" s="16">
        <v>2.5212689400000001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51.629557470000002</v>
      </c>
      <c r="F52" s="16">
        <v>2.8352638099999998</v>
      </c>
      <c r="G52" s="14">
        <v>48.370442529999998</v>
      </c>
      <c r="H52" s="16">
        <v>2.8352638099999998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59.272229850000002</v>
      </c>
      <c r="F53" s="16">
        <v>2.28782145</v>
      </c>
      <c r="G53" s="14">
        <v>40.727770149999998</v>
      </c>
      <c r="H53" s="16">
        <v>2.28782145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39.117832409999998</v>
      </c>
      <c r="F56" s="16">
        <v>2.3047864800000002</v>
      </c>
      <c r="G56" s="14">
        <v>60.882167590000002</v>
      </c>
      <c r="H56" s="16">
        <v>2.3047864800000002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53.327361029999999</v>
      </c>
      <c r="F61" s="16">
        <v>2.57637619</v>
      </c>
      <c r="G61" s="14">
        <v>46.672638970000001</v>
      </c>
      <c r="H61" s="16">
        <v>2.57637619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43.71553282</v>
      </c>
      <c r="F62" s="16">
        <v>2.8233971000000002</v>
      </c>
      <c r="G62" s="14">
        <v>56.28446718</v>
      </c>
      <c r="H62" s="16">
        <v>2.8233971000000002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71.087815520000007</v>
      </c>
      <c r="F66" s="16">
        <v>1.8298097499999999</v>
      </c>
      <c r="G66" s="14">
        <v>28.912184480000001</v>
      </c>
      <c r="H66" s="16">
        <v>1.8298097499999999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68.811249239999995</v>
      </c>
      <c r="F67" s="16">
        <v>2.1208059000000001</v>
      </c>
      <c r="G67" s="14">
        <v>31.188750760000001</v>
      </c>
      <c r="H67" s="16">
        <v>2.1208059000000001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54.55938021</v>
      </c>
      <c r="F70" s="16">
        <v>2.4458165200000002</v>
      </c>
      <c r="G70" s="14">
        <v>45.44061979</v>
      </c>
      <c r="H70" s="16">
        <v>2.4458165200000002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31.59696387</v>
      </c>
      <c r="F72" s="16">
        <v>2.0516719700000001</v>
      </c>
      <c r="G72" s="14">
        <v>68.403036130000004</v>
      </c>
      <c r="H72" s="16">
        <v>2.0516719700000001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57.063694419999997</v>
      </c>
      <c r="F73" s="16">
        <v>2.5402922999999999</v>
      </c>
      <c r="G73" s="14">
        <v>42.936305580000003</v>
      </c>
      <c r="H73" s="16">
        <v>2.5402922999999999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79.499841570000001</v>
      </c>
      <c r="F75" s="16">
        <v>2.2282696099999999</v>
      </c>
      <c r="G75" s="14">
        <v>20.500158429999999</v>
      </c>
      <c r="H75" s="16">
        <v>2.2282696099999999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62.715164440000002</v>
      </c>
      <c r="F76" s="16">
        <v>1.8014734999999999</v>
      </c>
      <c r="G76" s="14">
        <v>37.284835559999998</v>
      </c>
      <c r="H76" s="16">
        <v>1.8014734999999999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65.006792149999995</v>
      </c>
      <c r="F77" s="16">
        <v>2.6922479699999999</v>
      </c>
      <c r="G77" s="14">
        <v>34.993207849999997</v>
      </c>
      <c r="H77" s="16">
        <v>2.6922479699999999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59.672261480000003</v>
      </c>
      <c r="F81" s="16">
        <v>2.1884867699999999</v>
      </c>
      <c r="G81" s="14">
        <v>40.327738519999997</v>
      </c>
      <c r="H81" s="16">
        <v>2.1884867699999999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49.190229340000002</v>
      </c>
      <c r="F7" s="16">
        <v>1.75283118</v>
      </c>
      <c r="G7" s="14">
        <v>50.809770659999998</v>
      </c>
      <c r="H7" s="16">
        <v>1.75283118</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39.661508320000003</v>
      </c>
      <c r="F8" s="16">
        <v>2.3480514299999999</v>
      </c>
      <c r="G8" s="14">
        <v>60.338491679999997</v>
      </c>
      <c r="H8" s="16">
        <v>2.3480514299999999</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42.720278460000003</v>
      </c>
      <c r="F9" s="16">
        <v>1.8934431700000001</v>
      </c>
      <c r="G9" s="14">
        <v>57.279721539999997</v>
      </c>
      <c r="H9" s="16">
        <v>1.8934431700000001</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42.447623710000002</v>
      </c>
      <c r="F10" s="16">
        <v>1.5470887600000001</v>
      </c>
      <c r="G10" s="14">
        <v>57.552376289999998</v>
      </c>
      <c r="H10" s="16">
        <v>1.5470887600000001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45.837377119999999</v>
      </c>
      <c r="F11" s="16">
        <v>2.57213739</v>
      </c>
      <c r="G11" s="14">
        <v>54.162622880000001</v>
      </c>
      <c r="H11" s="16">
        <v>2.57213739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45.19152536</v>
      </c>
      <c r="F12" s="16">
        <v>2.34314102</v>
      </c>
      <c r="G12" s="14">
        <v>54.80847464</v>
      </c>
      <c r="H12" s="16">
        <v>2.34314102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52.470738300000001</v>
      </c>
      <c r="F13" s="16">
        <v>2.5891727200000001</v>
      </c>
      <c r="G13" s="14">
        <v>47.529261699999999</v>
      </c>
      <c r="H13" s="16">
        <v>2.5891727200000001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42.841048489999999</v>
      </c>
      <c r="F14" s="16">
        <v>2.2837053799999998</v>
      </c>
      <c r="G14" s="14">
        <v>57.158951510000001</v>
      </c>
      <c r="H14" s="16">
        <v>2.2837053799999998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35.778271050000001</v>
      </c>
      <c r="F15" s="16">
        <v>2.3666359400000001</v>
      </c>
      <c r="G15" s="14">
        <v>64.221728949999999</v>
      </c>
      <c r="H15" s="16">
        <v>2.3666359400000001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48.061311740000001</v>
      </c>
      <c r="F16" s="16">
        <v>2.46325503</v>
      </c>
      <c r="G16" s="14">
        <v>51.938688259999999</v>
      </c>
      <c r="H16" s="16">
        <v>2.46325503</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49.829219070000001</v>
      </c>
      <c r="F17" s="16">
        <v>2.54886955</v>
      </c>
      <c r="G17" s="14">
        <v>50.170780929999999</v>
      </c>
      <c r="H17" s="16">
        <v>2.54886955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49.362951209999999</v>
      </c>
      <c r="F18" s="16">
        <v>2.7562396499999999</v>
      </c>
      <c r="G18" s="14">
        <v>50.637048790000001</v>
      </c>
      <c r="H18" s="16">
        <v>2.7562396499999999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40.293226179999998</v>
      </c>
      <c r="F19" s="16">
        <v>2.6234860000000002</v>
      </c>
      <c r="G19" s="14">
        <v>59.706773820000002</v>
      </c>
      <c r="H19" s="16">
        <v>2.6234860000000002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42.034522320000001</v>
      </c>
      <c r="F20" s="16">
        <v>3.0100404799999998</v>
      </c>
      <c r="G20" s="14">
        <v>57.965477679999999</v>
      </c>
      <c r="H20" s="16">
        <v>3.0100404799999998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57.554419430000003</v>
      </c>
      <c r="F22" s="16">
        <v>2.2288649700000001</v>
      </c>
      <c r="G22" s="14">
        <v>42.445580569999997</v>
      </c>
      <c r="H22" s="16">
        <v>2.2288649700000001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56.834707010000002</v>
      </c>
      <c r="F23" s="16">
        <v>2.0681479199999999</v>
      </c>
      <c r="G23" s="14">
        <v>43.165292989999998</v>
      </c>
      <c r="H23" s="16">
        <v>2.0681479199999999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24.973456859999999</v>
      </c>
      <c r="F24" s="16">
        <v>1.8533468200000001</v>
      </c>
      <c r="G24" s="14">
        <v>75.026543140000001</v>
      </c>
      <c r="H24" s="16">
        <v>1.8533468200000001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23.866185949999998</v>
      </c>
      <c r="F25" s="16">
        <v>2.12182943</v>
      </c>
      <c r="G25" s="14">
        <v>76.133814049999998</v>
      </c>
      <c r="H25" s="16">
        <v>2.12182943</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50.298280089999999</v>
      </c>
      <c r="F26" s="16">
        <v>3.29604878</v>
      </c>
      <c r="G26" s="14">
        <v>49.701719910000001</v>
      </c>
      <c r="H26" s="16">
        <v>3.29604878</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48.09193672</v>
      </c>
      <c r="F27" s="16">
        <v>2.8690431200000002</v>
      </c>
      <c r="G27" s="14">
        <v>51.90806328</v>
      </c>
      <c r="H27" s="16">
        <v>2.8690431200000002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47.476146849999999</v>
      </c>
      <c r="F28" s="16">
        <v>2.6623298399999999</v>
      </c>
      <c r="G28" s="14">
        <v>52.523853150000001</v>
      </c>
      <c r="H28" s="16">
        <v>2.6623298399999999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37.467763419999997</v>
      </c>
      <c r="F29" s="16">
        <v>2.3436170199999999</v>
      </c>
      <c r="G29" s="14">
        <v>62.532236580000003</v>
      </c>
      <c r="H29" s="16">
        <v>2.3436170199999999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49.760643909999999</v>
      </c>
      <c r="F30" s="16">
        <v>3.21494824</v>
      </c>
      <c r="G30" s="14">
        <v>50.239356090000001</v>
      </c>
      <c r="H30" s="16">
        <v>3.21494824</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40.63770023</v>
      </c>
      <c r="F31" s="16">
        <v>2.4418674899999999</v>
      </c>
      <c r="G31" s="14">
        <v>59.36229977</v>
      </c>
      <c r="H31" s="16">
        <v>2.4418674899999999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54.520047320000003</v>
      </c>
      <c r="F33" s="16">
        <v>2.2664676199999998</v>
      </c>
      <c r="G33" s="14">
        <v>45.479952679999997</v>
      </c>
      <c r="H33" s="16">
        <v>2.2664676199999998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48.773744469999997</v>
      </c>
      <c r="F34" s="16">
        <v>2.2032235099999999</v>
      </c>
      <c r="G34" s="14">
        <v>51.226255530000003</v>
      </c>
      <c r="H34" s="16">
        <v>2.2032235099999999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38.452547670000001</v>
      </c>
      <c r="F35" s="16">
        <v>2.3992375799999999</v>
      </c>
      <c r="G35" s="14">
        <v>61.547452329999999</v>
      </c>
      <c r="H35" s="16">
        <v>2.3992375799999999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40.889738919999999</v>
      </c>
      <c r="F36" s="16">
        <v>2.2214116700000002</v>
      </c>
      <c r="G36" s="14">
        <v>59.110261080000001</v>
      </c>
      <c r="H36" s="16">
        <v>2.2214116700000002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46.493912639999998</v>
      </c>
      <c r="F37" s="16">
        <v>2.2726398400000001</v>
      </c>
      <c r="G37" s="14">
        <v>53.506087360000002</v>
      </c>
      <c r="H37" s="16">
        <v>2.2726398400000001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35.898453740000001</v>
      </c>
      <c r="F39" s="16">
        <v>2.3348668699999999</v>
      </c>
      <c r="G39" s="14">
        <v>64.101546260000006</v>
      </c>
      <c r="H39" s="16">
        <v>2.3348668699999999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55.939055359999998</v>
      </c>
      <c r="F40" s="16">
        <v>2.4533393100000001</v>
      </c>
      <c r="G40" s="14">
        <v>44.060944640000002</v>
      </c>
      <c r="H40" s="16">
        <v>2.4533393100000001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47.681885620000003</v>
      </c>
      <c r="F41" s="16">
        <v>2.5156413999999998</v>
      </c>
      <c r="G41" s="14">
        <v>52.318114379999997</v>
      </c>
      <c r="H41" s="16">
        <v>2.5156413999999998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44.729076777500005</v>
      </c>
      <c r="F42" s="16">
        <f>IF(COUNT(F7:F41) &gt; 0, SQRT(SUMSQ(F7:F41)/(COUNT(F7:F41)*COUNT(F7:F41)) ), "—")</f>
        <v>0.42972719368938872</v>
      </c>
      <c r="G42" s="14">
        <f>IF(COUNT(G7:G41) &gt; 0, AVERAGE(G7:G41), "—")</f>
        <v>55.270923222499995</v>
      </c>
      <c r="H42" s="16">
        <f>IF(COUNT(H7:H41) &gt; 0, SQRT(SUMSQ(H7:H41)/(COUNT(H7:H41)*COUNT(H7:H41)) ), "—")</f>
        <v>0.42972719368938872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49.877938030000003</v>
      </c>
      <c r="F46" s="16">
        <v>1.85952052</v>
      </c>
      <c r="G46" s="14">
        <v>50.122061969999997</v>
      </c>
      <c r="H46" s="16">
        <v>1.85952052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49.403064100000002</v>
      </c>
      <c r="F47" s="16">
        <v>2.3251781999999999</v>
      </c>
      <c r="G47" s="14">
        <v>50.596935899999998</v>
      </c>
      <c r="H47" s="16">
        <v>2.3251781999999999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42.071679889999999</v>
      </c>
      <c r="F48" s="16">
        <v>2.3724309799999999</v>
      </c>
      <c r="G48" s="14">
        <v>57.928320110000001</v>
      </c>
      <c r="H48" s="16">
        <v>2.3724309799999999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55.263845869999997</v>
      </c>
      <c r="F50" s="16">
        <v>2.16872387</v>
      </c>
      <c r="G50" s="14">
        <v>44.736154130000003</v>
      </c>
      <c r="H50" s="16">
        <v>2.16872387</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42.055856779999999</v>
      </c>
      <c r="F51" s="16">
        <v>1.9592269600000001</v>
      </c>
      <c r="G51" s="14">
        <v>57.944143220000001</v>
      </c>
      <c r="H51" s="16">
        <v>1.9592269600000001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35.756790379999998</v>
      </c>
      <c r="F52" s="16">
        <v>2.1053007500000001</v>
      </c>
      <c r="G52" s="14">
        <v>64.243209620000002</v>
      </c>
      <c r="H52" s="16">
        <v>2.1053007500000001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55.542691929999997</v>
      </c>
      <c r="F53" s="16">
        <v>2.43690636</v>
      </c>
      <c r="G53" s="14">
        <v>44.457308070000003</v>
      </c>
      <c r="H53" s="16">
        <v>2.43690636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33.628411409999998</v>
      </c>
      <c r="F56" s="16">
        <v>1.8558105</v>
      </c>
      <c r="G56" s="14">
        <v>66.371588590000002</v>
      </c>
      <c r="H56" s="16">
        <v>1.8558105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38.980431189999997</v>
      </c>
      <c r="F61" s="16">
        <v>2.5566838500000002</v>
      </c>
      <c r="G61" s="14">
        <v>61.019568810000003</v>
      </c>
      <c r="H61" s="16">
        <v>2.5566838500000002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41.1938569</v>
      </c>
      <c r="F62" s="16">
        <v>2.6246530099999998</v>
      </c>
      <c r="G62" s="14">
        <v>58.8061431</v>
      </c>
      <c r="H62" s="16">
        <v>2.6246530099999998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45.476041260000002</v>
      </c>
      <c r="F66" s="16">
        <v>2.2641642200000001</v>
      </c>
      <c r="G66" s="14">
        <v>54.523958739999998</v>
      </c>
      <c r="H66" s="16">
        <v>2.2641642200000001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57.067340850000001</v>
      </c>
      <c r="F67" s="16">
        <v>2.1049393099999998</v>
      </c>
      <c r="G67" s="14">
        <v>42.932659149999999</v>
      </c>
      <c r="H67" s="16">
        <v>2.1049393099999998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42.426866130000001</v>
      </c>
      <c r="F70" s="16">
        <v>2.53321328</v>
      </c>
      <c r="G70" s="14">
        <v>57.573133869999999</v>
      </c>
      <c r="H70" s="16">
        <v>2.53321328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27.82865061</v>
      </c>
      <c r="F72" s="16">
        <v>1.6410329800000001</v>
      </c>
      <c r="G72" s="14">
        <v>72.171349390000003</v>
      </c>
      <c r="H72" s="16">
        <v>1.6410329800000001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46.042852250000003</v>
      </c>
      <c r="F73" s="16">
        <v>2.6886727399999999</v>
      </c>
      <c r="G73" s="14">
        <v>53.957147749999997</v>
      </c>
      <c r="H73" s="16">
        <v>2.6886727399999999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53.938656080000001</v>
      </c>
      <c r="F75" s="16">
        <v>2.5128610600000001</v>
      </c>
      <c r="G75" s="14">
        <v>46.061343919999999</v>
      </c>
      <c r="H75" s="16">
        <v>2.5128610600000001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49.030014260000002</v>
      </c>
      <c r="F76" s="16">
        <v>2.03984853</v>
      </c>
      <c r="G76" s="14">
        <v>50.969985739999998</v>
      </c>
      <c r="H76" s="16">
        <v>2.03984853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51.32697924</v>
      </c>
      <c r="F77" s="16">
        <v>2.3033831199999999</v>
      </c>
      <c r="G77" s="14">
        <v>48.67302076</v>
      </c>
      <c r="H77" s="16">
        <v>2.3033831199999999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40.632764280000004</v>
      </c>
      <c r="F81" s="16">
        <v>2.71519333</v>
      </c>
      <c r="G81" s="14">
        <v>59.367235719999996</v>
      </c>
      <c r="H81" s="16">
        <v>2.71519333</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53.141835589999999</v>
      </c>
      <c r="F7" s="16">
        <v>1.65473991</v>
      </c>
      <c r="G7" s="14">
        <v>46.858164410000001</v>
      </c>
      <c r="H7" s="16">
        <v>1.65473991</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47.339311950000003</v>
      </c>
      <c r="F8" s="16">
        <v>2.0160538099999998</v>
      </c>
      <c r="G8" s="14">
        <v>52.660688049999997</v>
      </c>
      <c r="H8" s="16">
        <v>2.0160538099999998</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47.27906437</v>
      </c>
      <c r="F9" s="16">
        <v>1.9609945600000001</v>
      </c>
      <c r="G9" s="14">
        <v>52.72093563</v>
      </c>
      <c r="H9" s="16">
        <v>1.9609945600000001</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46.519702629999998</v>
      </c>
      <c r="F10" s="16">
        <v>1.62200593</v>
      </c>
      <c r="G10" s="14">
        <v>53.480297370000002</v>
      </c>
      <c r="H10" s="16">
        <v>1.62200593</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54.897907070000002</v>
      </c>
      <c r="F11" s="16">
        <v>2.6744180499999999</v>
      </c>
      <c r="G11" s="14">
        <v>45.102092929999998</v>
      </c>
      <c r="H11" s="16">
        <v>2.6744180499999999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60.38764157</v>
      </c>
      <c r="F12" s="16">
        <v>2.3067733000000001</v>
      </c>
      <c r="G12" s="14">
        <v>39.61235843</v>
      </c>
      <c r="H12" s="16">
        <v>2.3067733000000001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40.705498579999997</v>
      </c>
      <c r="F13" s="16">
        <v>2.6427202300000001</v>
      </c>
      <c r="G13" s="14">
        <v>59.294501420000003</v>
      </c>
      <c r="H13" s="16">
        <v>2.6427202300000001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49.417391240000001</v>
      </c>
      <c r="F14" s="16">
        <v>2.7597024000000001</v>
      </c>
      <c r="G14" s="14">
        <v>50.582608759999999</v>
      </c>
      <c r="H14" s="16">
        <v>2.7597024000000001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41.813063360000001</v>
      </c>
      <c r="F15" s="16">
        <v>1.9858816399999999</v>
      </c>
      <c r="G15" s="14">
        <v>58.186936639999999</v>
      </c>
      <c r="H15" s="16">
        <v>1.9858816399999999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49.81439263</v>
      </c>
      <c r="F16" s="16">
        <v>2.5335500999999998</v>
      </c>
      <c r="G16" s="14">
        <v>50.18560737</v>
      </c>
      <c r="H16" s="16">
        <v>2.5335500999999998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45.891552900000001</v>
      </c>
      <c r="F17" s="16">
        <v>2.7567576800000002</v>
      </c>
      <c r="G17" s="14">
        <v>54.108447099999999</v>
      </c>
      <c r="H17" s="16">
        <v>2.7567576800000002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57.548969130000003</v>
      </c>
      <c r="F18" s="16">
        <v>2.78654746</v>
      </c>
      <c r="G18" s="14">
        <v>42.451030869999997</v>
      </c>
      <c r="H18" s="16">
        <v>2.78654746</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57.671347760000003</v>
      </c>
      <c r="F19" s="16">
        <v>2.5334133200000002</v>
      </c>
      <c r="G19" s="14">
        <v>42.328652239999997</v>
      </c>
      <c r="H19" s="16">
        <v>2.5334133200000002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61.764089259999999</v>
      </c>
      <c r="F20" s="16">
        <v>2.6562592199999999</v>
      </c>
      <c r="G20" s="14">
        <v>38.235910740000001</v>
      </c>
      <c r="H20" s="16">
        <v>2.6562592199999999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50.20408656</v>
      </c>
      <c r="F22" s="16">
        <v>2.22089961</v>
      </c>
      <c r="G22" s="14">
        <v>49.79591344</v>
      </c>
      <c r="H22" s="16">
        <v>2.22089961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48.495610409999998</v>
      </c>
      <c r="F23" s="16">
        <v>2.27844019</v>
      </c>
      <c r="G23" s="14">
        <v>51.504389590000002</v>
      </c>
      <c r="H23" s="16">
        <v>2.27844019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26.195490660000001</v>
      </c>
      <c r="F24" s="16">
        <v>1.9044760300000001</v>
      </c>
      <c r="G24" s="14">
        <v>73.804509339999996</v>
      </c>
      <c r="H24" s="16">
        <v>1.9044760300000001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41.04116046</v>
      </c>
      <c r="F25" s="16">
        <v>2.1976615800000001</v>
      </c>
      <c r="G25" s="14">
        <v>58.95883954</v>
      </c>
      <c r="H25" s="16">
        <v>2.1976615800000001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53.123697569999997</v>
      </c>
      <c r="F26" s="16">
        <v>2.6835667299999999</v>
      </c>
      <c r="G26" s="14">
        <v>46.876302430000003</v>
      </c>
      <c r="H26" s="16">
        <v>2.6835667299999999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51.684809909999998</v>
      </c>
      <c r="F27" s="16">
        <v>2.4424204399999998</v>
      </c>
      <c r="G27" s="14">
        <v>48.315190090000002</v>
      </c>
      <c r="H27" s="16">
        <v>2.4424204399999998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87.996026830000005</v>
      </c>
      <c r="F28" s="16">
        <v>1.5692054</v>
      </c>
      <c r="G28" s="14">
        <v>12.00397317</v>
      </c>
      <c r="H28" s="16">
        <v>1.5692054</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40.66786201</v>
      </c>
      <c r="F29" s="16">
        <v>2.1735696199999999</v>
      </c>
      <c r="G29" s="14">
        <v>59.33213799</v>
      </c>
      <c r="H29" s="16">
        <v>2.1735696199999999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46.425504799999999</v>
      </c>
      <c r="F30" s="16">
        <v>2.54508534</v>
      </c>
      <c r="G30" s="14">
        <v>53.574495200000001</v>
      </c>
      <c r="H30" s="16">
        <v>2.54508534</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48.537296759999997</v>
      </c>
      <c r="F31" s="16">
        <v>2.3318322999999999</v>
      </c>
      <c r="G31" s="14">
        <v>51.462703240000003</v>
      </c>
      <c r="H31" s="16">
        <v>2.3318322999999999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50.715759939999998</v>
      </c>
      <c r="F33" s="16">
        <v>2.50861555</v>
      </c>
      <c r="G33" s="14">
        <v>49.284240060000002</v>
      </c>
      <c r="H33" s="16">
        <v>2.50861555</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67.539947429999998</v>
      </c>
      <c r="F34" s="16">
        <v>1.8106237199999999</v>
      </c>
      <c r="G34" s="14">
        <v>32.460052570000002</v>
      </c>
      <c r="H34" s="16">
        <v>1.8106237199999999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55.263816839999997</v>
      </c>
      <c r="F35" s="16">
        <v>2.53460464</v>
      </c>
      <c r="G35" s="14">
        <v>44.736183160000003</v>
      </c>
      <c r="H35" s="16">
        <v>2.53460464</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41.276659219999999</v>
      </c>
      <c r="F36" s="16">
        <v>2.0587737800000001</v>
      </c>
      <c r="G36" s="14">
        <v>58.723340780000001</v>
      </c>
      <c r="H36" s="16">
        <v>2.0587737800000001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43.662075129999998</v>
      </c>
      <c r="F37" s="16">
        <v>2.75432838</v>
      </c>
      <c r="G37" s="14">
        <v>56.337924870000002</v>
      </c>
      <c r="H37" s="16">
        <v>2.75432838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66.599736309999997</v>
      </c>
      <c r="F39" s="16">
        <v>2.7616418500000002</v>
      </c>
      <c r="G39" s="14">
        <v>33.400263690000003</v>
      </c>
      <c r="H39" s="16">
        <v>2.7616418500000002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46.634805800000002</v>
      </c>
      <c r="F40" s="16">
        <v>1.76296729</v>
      </c>
      <c r="G40" s="14">
        <v>53.365194199999998</v>
      </c>
      <c r="H40" s="16">
        <v>1.76296729</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44.725983309999997</v>
      </c>
      <c r="F41" s="16">
        <v>2.4846523600000001</v>
      </c>
      <c r="G41" s="14">
        <v>55.274016690000003</v>
      </c>
      <c r="H41" s="16">
        <v>2.4846523600000001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50.780690562187495</v>
      </c>
      <c r="F42" s="16">
        <f>IF(COUNT(F7:F41) &gt; 0, SQRT(SUMSQ(F7:F41)/(COUNT(F7:F41)*COUNT(F7:F41)) ), "—")</f>
        <v>0.41355411257445229</v>
      </c>
      <c r="G42" s="14">
        <f>IF(COUNT(G7:G41) &gt; 0, AVERAGE(G7:G41), "—")</f>
        <v>49.219309437812505</v>
      </c>
      <c r="H42" s="16">
        <f>IF(COUNT(H7:H41) &gt; 0, SQRT(SUMSQ(H7:H41)/(COUNT(H7:H41)*COUNT(H7:H41)) ), "—")</f>
        <v>0.41355411257445229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68.215496200000004</v>
      </c>
      <c r="F46" s="16">
        <v>1.67294042</v>
      </c>
      <c r="G46" s="14">
        <v>31.7845038</v>
      </c>
      <c r="H46" s="16">
        <v>1.67294042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61.308676009999999</v>
      </c>
      <c r="F47" s="16">
        <v>2.4367023900000002</v>
      </c>
      <c r="G47" s="14">
        <v>38.691323990000001</v>
      </c>
      <c r="H47" s="16">
        <v>2.4367023900000002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60.310454499999999</v>
      </c>
      <c r="F48" s="16">
        <v>2.3057283599999998</v>
      </c>
      <c r="G48" s="14">
        <v>39.689545500000001</v>
      </c>
      <c r="H48" s="16">
        <v>2.3057283599999998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64.318657599999995</v>
      </c>
      <c r="F50" s="16">
        <v>2.30844688</v>
      </c>
      <c r="G50" s="14">
        <v>35.681342399999998</v>
      </c>
      <c r="H50" s="16">
        <v>2.30844688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65.010511489999999</v>
      </c>
      <c r="F51" s="16">
        <v>2.5164152999999998</v>
      </c>
      <c r="G51" s="14">
        <v>34.989488510000001</v>
      </c>
      <c r="H51" s="16">
        <v>2.5164152999999998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72.174253030000003</v>
      </c>
      <c r="F52" s="16">
        <v>2.0641961000000002</v>
      </c>
      <c r="G52" s="14">
        <v>27.825746970000001</v>
      </c>
      <c r="H52" s="16">
        <v>2.0641961000000002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59.857596569999998</v>
      </c>
      <c r="F53" s="16">
        <v>2.4705952500000001</v>
      </c>
      <c r="G53" s="14">
        <v>40.142403430000002</v>
      </c>
      <c r="H53" s="16">
        <v>2.4705952500000001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54.911960460000003</v>
      </c>
      <c r="F56" s="16">
        <v>2.59831229</v>
      </c>
      <c r="G56" s="14">
        <v>45.088039539999997</v>
      </c>
      <c r="H56" s="16">
        <v>2.59831229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58.995711059999998</v>
      </c>
      <c r="F61" s="16">
        <v>2.74677171</v>
      </c>
      <c r="G61" s="14">
        <v>41.004288940000002</v>
      </c>
      <c r="H61" s="16">
        <v>2.74677171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56.864098319999997</v>
      </c>
      <c r="F62" s="16">
        <v>2.8168521499999999</v>
      </c>
      <c r="G62" s="14">
        <v>43.135901680000003</v>
      </c>
      <c r="H62" s="16">
        <v>2.8168521499999999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79.478330830000004</v>
      </c>
      <c r="F66" s="16">
        <v>1.8122960400000001</v>
      </c>
      <c r="G66" s="14">
        <v>20.521669169999999</v>
      </c>
      <c r="H66" s="16">
        <v>1.8122960400000001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59.17750624</v>
      </c>
      <c r="F67" s="16">
        <v>2.3263970500000002</v>
      </c>
      <c r="G67" s="14">
        <v>40.82249376</v>
      </c>
      <c r="H67" s="16">
        <v>2.3263970500000002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45.052078180000002</v>
      </c>
      <c r="F70" s="16">
        <v>2.8544585499999999</v>
      </c>
      <c r="G70" s="14">
        <v>54.947921819999998</v>
      </c>
      <c r="H70" s="16">
        <v>2.8544585499999999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43.166399759999997</v>
      </c>
      <c r="F72" s="16">
        <v>2.2646614</v>
      </c>
      <c r="G72" s="14">
        <v>56.833600240000003</v>
      </c>
      <c r="H72" s="16">
        <v>2.2646614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62.87657394</v>
      </c>
      <c r="F73" s="16">
        <v>2.4049212</v>
      </c>
      <c r="G73" s="14">
        <v>37.12342606</v>
      </c>
      <c r="H73" s="16">
        <v>2.4049212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81.602772580000007</v>
      </c>
      <c r="F75" s="16">
        <v>2.1431552599999999</v>
      </c>
      <c r="G75" s="14">
        <v>18.39722742</v>
      </c>
      <c r="H75" s="16">
        <v>2.1431552599999999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82.664008120000005</v>
      </c>
      <c r="F76" s="16">
        <v>1.45331013</v>
      </c>
      <c r="G76" s="14">
        <v>17.335991880000002</v>
      </c>
      <c r="H76" s="16">
        <v>1.45331013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60.970115909999997</v>
      </c>
      <c r="F77" s="16">
        <v>2.8786594399999998</v>
      </c>
      <c r="G77" s="14">
        <v>39.029884090000003</v>
      </c>
      <c r="H77" s="16">
        <v>2.8786594399999998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60.932846089999998</v>
      </c>
      <c r="F81" s="16">
        <v>2.0277521699999999</v>
      </c>
      <c r="G81" s="14">
        <v>39.067153910000002</v>
      </c>
      <c r="H81" s="16">
        <v>2.0277521699999999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30.018108819999998</v>
      </c>
      <c r="F7" s="16">
        <v>1.71971443</v>
      </c>
      <c r="G7" s="14">
        <v>69.981891180000005</v>
      </c>
      <c r="H7" s="16">
        <v>1.71971443</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34.415386239999997</v>
      </c>
      <c r="F8" s="16">
        <v>2.04824085</v>
      </c>
      <c r="G8" s="14">
        <v>65.584613759999996</v>
      </c>
      <c r="H8" s="16">
        <v>2.04824085</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26.747491360000001</v>
      </c>
      <c r="F9" s="16">
        <v>1.6981883200000001</v>
      </c>
      <c r="G9" s="14">
        <v>73.252508640000002</v>
      </c>
      <c r="H9" s="16">
        <v>1.6981883200000001</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23.84233927</v>
      </c>
      <c r="F10" s="16">
        <v>1.24511667</v>
      </c>
      <c r="G10" s="14">
        <v>76.157660730000003</v>
      </c>
      <c r="H10" s="16">
        <v>1.24511667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37.670720660000001</v>
      </c>
      <c r="F11" s="16">
        <v>2.3572715500000001</v>
      </c>
      <c r="G11" s="14">
        <v>62.329279339999999</v>
      </c>
      <c r="H11" s="16">
        <v>2.3572715500000001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33.941730370000002</v>
      </c>
      <c r="F12" s="16">
        <v>2.2658068999999998</v>
      </c>
      <c r="G12" s="14">
        <v>66.058269629999998</v>
      </c>
      <c r="H12" s="16">
        <v>2.2658068999999998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20.280510499999998</v>
      </c>
      <c r="F13" s="16">
        <v>2.4159249300000001</v>
      </c>
      <c r="G13" s="14">
        <v>79.719489499999995</v>
      </c>
      <c r="H13" s="16">
        <v>2.4159249300000001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24.592325420000002</v>
      </c>
      <c r="F14" s="16">
        <v>2.2791263900000001</v>
      </c>
      <c r="G14" s="14">
        <v>75.407674580000005</v>
      </c>
      <c r="H14" s="16">
        <v>2.2791263900000001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23.759424320000001</v>
      </c>
      <c r="F15" s="16">
        <v>2.0937368799999998</v>
      </c>
      <c r="G15" s="14">
        <v>76.240575680000006</v>
      </c>
      <c r="H15" s="16">
        <v>2.0937368799999998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29.422127889999999</v>
      </c>
      <c r="F16" s="16">
        <v>2.36235324</v>
      </c>
      <c r="G16" s="14">
        <v>70.577872110000001</v>
      </c>
      <c r="H16" s="16">
        <v>2.36235324</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26.50139673</v>
      </c>
      <c r="F17" s="16">
        <v>2.0409493200000002</v>
      </c>
      <c r="G17" s="14">
        <v>73.498603270000004</v>
      </c>
      <c r="H17" s="16">
        <v>2.0409493200000002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43.097942420000003</v>
      </c>
      <c r="F18" s="16">
        <v>2.4076840000000002</v>
      </c>
      <c r="G18" s="14">
        <v>56.902057579999997</v>
      </c>
      <c r="H18" s="16">
        <v>2.4076840000000002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39.090879700000002</v>
      </c>
      <c r="F19" s="16">
        <v>2.57673584</v>
      </c>
      <c r="G19" s="14">
        <v>60.909120299999998</v>
      </c>
      <c r="H19" s="16">
        <v>2.57673584</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27.972097519999998</v>
      </c>
      <c r="F20" s="16">
        <v>2.75116184</v>
      </c>
      <c r="G20" s="14">
        <v>72.027902479999995</v>
      </c>
      <c r="H20" s="16">
        <v>2.75116184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37.271891109999999</v>
      </c>
      <c r="F22" s="16">
        <v>2.4299242900000002</v>
      </c>
      <c r="G22" s="14">
        <v>62.728108890000001</v>
      </c>
      <c r="H22" s="16">
        <v>2.4299242900000002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30.256336170000001</v>
      </c>
      <c r="F23" s="16">
        <v>2.0057832699999998</v>
      </c>
      <c r="G23" s="14">
        <v>69.743663830000003</v>
      </c>
      <c r="H23" s="16">
        <v>2.0057832699999998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18.67701186</v>
      </c>
      <c r="F24" s="16">
        <v>1.85509323</v>
      </c>
      <c r="G24" s="14">
        <v>81.322988140000007</v>
      </c>
      <c r="H24" s="16">
        <v>1.85509323</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19.644107640000001</v>
      </c>
      <c r="F25" s="16">
        <v>1.7369574000000001</v>
      </c>
      <c r="G25" s="14">
        <v>80.355892359999999</v>
      </c>
      <c r="H25" s="16">
        <v>1.7369574000000001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40.45607605</v>
      </c>
      <c r="F26" s="16">
        <v>2.2752337499999999</v>
      </c>
      <c r="G26" s="14">
        <v>59.54392395</v>
      </c>
      <c r="H26" s="16">
        <v>2.2752337499999999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30.620966249999999</v>
      </c>
      <c r="F27" s="16">
        <v>2.26324506</v>
      </c>
      <c r="G27" s="14">
        <v>69.379033750000005</v>
      </c>
      <c r="H27" s="16">
        <v>2.26324506</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47.54140271</v>
      </c>
      <c r="F28" s="16">
        <v>2.4007378199999998</v>
      </c>
      <c r="G28" s="14">
        <v>52.45859729</v>
      </c>
      <c r="H28" s="16">
        <v>2.4007378199999998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19.200037510000001</v>
      </c>
      <c r="F29" s="16">
        <v>1.70550365</v>
      </c>
      <c r="G29" s="14">
        <v>80.799962489999999</v>
      </c>
      <c r="H29" s="16">
        <v>1.70550365</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29.351712419999998</v>
      </c>
      <c r="F30" s="16">
        <v>2.5317431099999999</v>
      </c>
      <c r="G30" s="14">
        <v>70.648287580000002</v>
      </c>
      <c r="H30" s="16">
        <v>2.5317431099999999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29.126181079999999</v>
      </c>
      <c r="F31" s="16">
        <v>1.8432611000000001</v>
      </c>
      <c r="G31" s="14">
        <v>70.873818920000005</v>
      </c>
      <c r="H31" s="16">
        <v>1.8432611000000001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30.825143669999999</v>
      </c>
      <c r="F33" s="16">
        <v>2.3037908599999999</v>
      </c>
      <c r="G33" s="14">
        <v>69.174856329999997</v>
      </c>
      <c r="H33" s="16">
        <v>2.3037908599999999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46.739540050000002</v>
      </c>
      <c r="F34" s="16">
        <v>2.4794453299999999</v>
      </c>
      <c r="G34" s="14">
        <v>53.260459949999998</v>
      </c>
      <c r="H34" s="16">
        <v>2.4794453299999999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27.055630709999999</v>
      </c>
      <c r="F35" s="16">
        <v>2.2746134499999999</v>
      </c>
      <c r="G35" s="14">
        <v>72.944369289999997</v>
      </c>
      <c r="H35" s="16">
        <v>2.2746134499999999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23.98152559</v>
      </c>
      <c r="F36" s="16">
        <v>2.0009321099999999</v>
      </c>
      <c r="G36" s="14">
        <v>76.018474409999996</v>
      </c>
      <c r="H36" s="16">
        <v>2.0009321099999999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28.643453489999999</v>
      </c>
      <c r="F37" s="16">
        <v>2.4795205400000002</v>
      </c>
      <c r="G37" s="14">
        <v>71.356546510000001</v>
      </c>
      <c r="H37" s="16">
        <v>2.4795205400000002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46.856063689999999</v>
      </c>
      <c r="F39" s="16">
        <v>2.4401657999999999</v>
      </c>
      <c r="G39" s="14">
        <v>53.143936310000001</v>
      </c>
      <c r="H39" s="16">
        <v>2.4401657999999999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24.14558736</v>
      </c>
      <c r="F40" s="16">
        <v>1.9055935900000001</v>
      </c>
      <c r="G40" s="14">
        <v>75.854412640000007</v>
      </c>
      <c r="H40" s="16">
        <v>1.9055935900000001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26.112218469999998</v>
      </c>
      <c r="F41" s="16">
        <v>2.1730635199999999</v>
      </c>
      <c r="G41" s="14">
        <v>73.887781529999998</v>
      </c>
      <c r="H41" s="16">
        <v>2.1730635199999999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30.5580427203125</v>
      </c>
      <c r="F42" s="16">
        <f>IF(COUNT(F7:F41) &gt; 0, SQRT(SUMSQ(F7:F41)/(COUNT(F7:F41)*COUNT(F7:F41)) ), "—")</f>
        <v>0.3874208680687598</v>
      </c>
      <c r="G42" s="14">
        <f>IF(COUNT(G7:G41) &gt; 0, AVERAGE(G7:G41), "—")</f>
        <v>69.441957279687514</v>
      </c>
      <c r="H42" s="16">
        <f>IF(COUNT(H7:H41) &gt; 0, SQRT(SUMSQ(H7:H41)/(COUNT(H7:H41)*COUNT(H7:H41)) ), "—")</f>
        <v>0.3874208680687598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54.030905050000001</v>
      </c>
      <c r="F46" s="16">
        <v>1.7383860499999999</v>
      </c>
      <c r="G46" s="14">
        <v>45.969094949999999</v>
      </c>
      <c r="H46" s="16">
        <v>1.7383860499999999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53.562801530000002</v>
      </c>
      <c r="F47" s="16">
        <v>2.3396254500000002</v>
      </c>
      <c r="G47" s="14">
        <v>46.437198469999998</v>
      </c>
      <c r="H47" s="16">
        <v>2.3396254500000002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28.63181865</v>
      </c>
      <c r="F48" s="16">
        <v>1.9096783100000001</v>
      </c>
      <c r="G48" s="14">
        <v>71.36818135</v>
      </c>
      <c r="H48" s="16">
        <v>1.9096783100000001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47.472209980000002</v>
      </c>
      <c r="F50" s="16">
        <v>2.2000899999999999</v>
      </c>
      <c r="G50" s="14">
        <v>52.527790019999998</v>
      </c>
      <c r="H50" s="16">
        <v>2.2000899999999999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41.069279889999997</v>
      </c>
      <c r="F51" s="16">
        <v>2.6821296600000002</v>
      </c>
      <c r="G51" s="14">
        <v>58.930720110000003</v>
      </c>
      <c r="H51" s="16">
        <v>2.6821296600000002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33.403884339999998</v>
      </c>
      <c r="F52" s="16">
        <v>2.4838062999999999</v>
      </c>
      <c r="G52" s="14">
        <v>66.596115659999995</v>
      </c>
      <c r="H52" s="16">
        <v>2.4838062999999999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47.412260230000001</v>
      </c>
      <c r="F53" s="16">
        <v>2.4084188200000001</v>
      </c>
      <c r="G53" s="14">
        <v>52.587739769999999</v>
      </c>
      <c r="H53" s="16">
        <v>2.4084188200000001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16.238499000000001</v>
      </c>
      <c r="F56" s="16">
        <v>1.6983216999999999</v>
      </c>
      <c r="G56" s="14">
        <v>83.761500999999996</v>
      </c>
      <c r="H56" s="16">
        <v>1.6983216999999999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43.043572869999998</v>
      </c>
      <c r="F61" s="16">
        <v>2.4728595699999998</v>
      </c>
      <c r="G61" s="14">
        <v>56.956427130000002</v>
      </c>
      <c r="H61" s="16">
        <v>2.4728595699999998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20.740407130000001</v>
      </c>
      <c r="F62" s="16">
        <v>2.2116506</v>
      </c>
      <c r="G62" s="14">
        <v>79.259592870000006</v>
      </c>
      <c r="H62" s="16">
        <v>2.2116506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55.398151390000002</v>
      </c>
      <c r="F66" s="16">
        <v>2.16030795</v>
      </c>
      <c r="G66" s="14">
        <v>44.601848609999998</v>
      </c>
      <c r="H66" s="16">
        <v>2.16030795</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49.295164270000001</v>
      </c>
      <c r="F67" s="16">
        <v>2.4637646200000001</v>
      </c>
      <c r="G67" s="14">
        <v>50.704835729999999</v>
      </c>
      <c r="H67" s="16">
        <v>2.4637646200000001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36.471568750000003</v>
      </c>
      <c r="F70" s="16">
        <v>2.6955697500000002</v>
      </c>
      <c r="G70" s="14">
        <v>63.528431249999997</v>
      </c>
      <c r="H70" s="16">
        <v>2.6955697500000002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17.21822555</v>
      </c>
      <c r="F72" s="16">
        <v>1.7869141399999999</v>
      </c>
      <c r="G72" s="14">
        <v>82.78177445</v>
      </c>
      <c r="H72" s="16">
        <v>1.7869141399999999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46.352747530000002</v>
      </c>
      <c r="F73" s="16">
        <v>2.6236500500000002</v>
      </c>
      <c r="G73" s="14">
        <v>53.647252469999998</v>
      </c>
      <c r="H73" s="16">
        <v>2.6236500500000002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62.834005599999998</v>
      </c>
      <c r="F75" s="16">
        <v>2.9858511000000001</v>
      </c>
      <c r="G75" s="14">
        <v>37.165994400000002</v>
      </c>
      <c r="H75" s="16">
        <v>2.9858511000000001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51.31049471</v>
      </c>
      <c r="F76" s="16">
        <v>1.5491606200000001</v>
      </c>
      <c r="G76" s="14">
        <v>48.68950529</v>
      </c>
      <c r="H76" s="16">
        <v>1.5491606200000001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46.686138149999998</v>
      </c>
      <c r="F77" s="16">
        <v>2.5242533699999998</v>
      </c>
      <c r="G77" s="14">
        <v>53.313861850000002</v>
      </c>
      <c r="H77" s="16">
        <v>2.5242533699999998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42.992258710000002</v>
      </c>
      <c r="F81" s="16">
        <v>2.1770679199999998</v>
      </c>
      <c r="G81" s="14">
        <v>57.007741289999998</v>
      </c>
      <c r="H81" s="16">
        <v>2.1770679199999998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37.362708189999999</v>
      </c>
      <c r="F7" s="16">
        <v>1.66457576</v>
      </c>
      <c r="G7" s="14">
        <v>62.637291810000001</v>
      </c>
      <c r="H7" s="16">
        <v>1.66457576</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27.31282135</v>
      </c>
      <c r="F8" s="16">
        <v>2.1103620400000001</v>
      </c>
      <c r="G8" s="14">
        <v>72.687178650000007</v>
      </c>
      <c r="H8" s="16">
        <v>2.1103620400000001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31.017959300000001</v>
      </c>
      <c r="F9" s="16">
        <v>2.1046505600000001</v>
      </c>
      <c r="G9" s="14">
        <v>68.982040699999999</v>
      </c>
      <c r="H9" s="16">
        <v>2.1046505600000001</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30.81787881</v>
      </c>
      <c r="F10" s="16">
        <v>1.3129072500000001</v>
      </c>
      <c r="G10" s="14">
        <v>69.182121190000004</v>
      </c>
      <c r="H10" s="16">
        <v>1.3129072500000001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42.49253161</v>
      </c>
      <c r="F11" s="16">
        <v>2.40044492</v>
      </c>
      <c r="G11" s="14">
        <v>57.50746839</v>
      </c>
      <c r="H11" s="16">
        <v>2.40044492</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47.404270410000002</v>
      </c>
      <c r="F12" s="16">
        <v>2.4993476499999998</v>
      </c>
      <c r="G12" s="14">
        <v>52.595729589999998</v>
      </c>
      <c r="H12" s="16">
        <v>2.4993476499999998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20.479587240000001</v>
      </c>
      <c r="F13" s="16">
        <v>2.00129746</v>
      </c>
      <c r="G13" s="14">
        <v>79.520412759999999</v>
      </c>
      <c r="H13" s="16">
        <v>2.00129746</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28.654467839999999</v>
      </c>
      <c r="F14" s="16">
        <v>2.1439179799999999</v>
      </c>
      <c r="G14" s="14">
        <v>71.345532160000005</v>
      </c>
      <c r="H14" s="16">
        <v>2.1439179799999999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34.376132130000002</v>
      </c>
      <c r="F15" s="16">
        <v>2.3541847100000002</v>
      </c>
      <c r="G15" s="14">
        <v>65.623867869999998</v>
      </c>
      <c r="H15" s="16">
        <v>2.3541847100000002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36.71493169</v>
      </c>
      <c r="F16" s="16">
        <v>2.5458151099999999</v>
      </c>
      <c r="G16" s="14">
        <v>63.28506831</v>
      </c>
      <c r="H16" s="16">
        <v>2.5458151099999999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27.908618919999999</v>
      </c>
      <c r="F17" s="16">
        <v>2.0862695499999999</v>
      </c>
      <c r="G17" s="14">
        <v>72.091381080000005</v>
      </c>
      <c r="H17" s="16">
        <v>2.0862695499999999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53.305576129999999</v>
      </c>
      <c r="F18" s="16">
        <v>2.85068842</v>
      </c>
      <c r="G18" s="14">
        <v>46.694423870000001</v>
      </c>
      <c r="H18" s="16">
        <v>2.85068842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46.219635789999998</v>
      </c>
      <c r="F19" s="16">
        <v>2.59529261</v>
      </c>
      <c r="G19" s="14">
        <v>53.780364210000002</v>
      </c>
      <c r="H19" s="16">
        <v>2.59529261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40.840050419999997</v>
      </c>
      <c r="F20" s="16">
        <v>3.1853173799999999</v>
      </c>
      <c r="G20" s="14">
        <v>59.159949580000003</v>
      </c>
      <c r="H20" s="16">
        <v>3.1853173799999999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38.255335510000002</v>
      </c>
      <c r="F22" s="16">
        <v>2.5812150100000002</v>
      </c>
      <c r="G22" s="14">
        <v>61.744664489999998</v>
      </c>
      <c r="H22" s="16">
        <v>2.5812150100000002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38.977473510000003</v>
      </c>
      <c r="F23" s="16">
        <v>2.33620663</v>
      </c>
      <c r="G23" s="14">
        <v>61.022526489999997</v>
      </c>
      <c r="H23" s="16">
        <v>2.33620663</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22.995971260000001</v>
      </c>
      <c r="F24" s="16">
        <v>1.5121779</v>
      </c>
      <c r="G24" s="14">
        <v>77.004028739999995</v>
      </c>
      <c r="H24" s="16">
        <v>1.5121779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32.816779910000001</v>
      </c>
      <c r="F25" s="16">
        <v>2.1666362700000001</v>
      </c>
      <c r="G25" s="14">
        <v>67.183220090000006</v>
      </c>
      <c r="H25" s="16">
        <v>2.1666362700000001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50.039764230000003</v>
      </c>
      <c r="F26" s="16">
        <v>2.7515859800000002</v>
      </c>
      <c r="G26" s="14">
        <v>49.960235769999997</v>
      </c>
      <c r="H26" s="16">
        <v>2.7515859800000002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35.062805300000001</v>
      </c>
      <c r="F27" s="16">
        <v>2.4558637399999999</v>
      </c>
      <c r="G27" s="14">
        <v>64.937194700000006</v>
      </c>
      <c r="H27" s="16">
        <v>2.4558637399999999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49.132199579999998</v>
      </c>
      <c r="F28" s="16">
        <v>2.6308078099999999</v>
      </c>
      <c r="G28" s="14">
        <v>50.867800420000002</v>
      </c>
      <c r="H28" s="16">
        <v>2.6308078099999999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26.049189269999999</v>
      </c>
      <c r="F29" s="16">
        <v>2.1992425400000002</v>
      </c>
      <c r="G29" s="14">
        <v>73.950810730000001</v>
      </c>
      <c r="H29" s="16">
        <v>2.1992425400000002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41.808077050000001</v>
      </c>
      <c r="F30" s="16">
        <v>2.95679903</v>
      </c>
      <c r="G30" s="14">
        <v>58.191922949999999</v>
      </c>
      <c r="H30" s="16">
        <v>2.95679903</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29.09925823</v>
      </c>
      <c r="F31" s="16">
        <v>2.0623104799999998</v>
      </c>
      <c r="G31" s="14">
        <v>70.900741769999996</v>
      </c>
      <c r="H31" s="16">
        <v>2.0623104799999998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30.74708291</v>
      </c>
      <c r="F33" s="16">
        <v>1.9549184799999999</v>
      </c>
      <c r="G33" s="14">
        <v>69.252917089999997</v>
      </c>
      <c r="H33" s="16">
        <v>1.9549184799999999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56.104183550000002</v>
      </c>
      <c r="F34" s="16">
        <v>2.2415666399999998</v>
      </c>
      <c r="G34" s="14">
        <v>43.895816449999998</v>
      </c>
      <c r="H34" s="16">
        <v>2.2415666399999998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32.228917590000002</v>
      </c>
      <c r="F35" s="16">
        <v>2.23636072</v>
      </c>
      <c r="G35" s="14">
        <v>67.771082410000005</v>
      </c>
      <c r="H35" s="16">
        <v>2.23636072</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30.965277929999999</v>
      </c>
      <c r="F36" s="16">
        <v>1.9622201500000001</v>
      </c>
      <c r="G36" s="14">
        <v>69.034722070000001</v>
      </c>
      <c r="H36" s="16">
        <v>1.9622201500000001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42.089378099999998</v>
      </c>
      <c r="F37" s="16">
        <v>2.9411280299999998</v>
      </c>
      <c r="G37" s="14">
        <v>57.910621900000002</v>
      </c>
      <c r="H37" s="16">
        <v>2.9411280299999998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71.928832929999999</v>
      </c>
      <c r="F39" s="16">
        <v>2.2123051999999999</v>
      </c>
      <c r="G39" s="14">
        <v>28.071167070000001</v>
      </c>
      <c r="H39" s="16">
        <v>2.2123051999999999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28.44746254</v>
      </c>
      <c r="F40" s="16">
        <v>1.7226031900000001</v>
      </c>
      <c r="G40" s="14">
        <v>71.552537459999996</v>
      </c>
      <c r="H40" s="16">
        <v>1.7226031900000001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34.113787369999997</v>
      </c>
      <c r="F41" s="16">
        <v>1.9360934999999999</v>
      </c>
      <c r="G41" s="14">
        <v>65.886212630000003</v>
      </c>
      <c r="H41" s="16">
        <v>1.9360934999999999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37.367779581250012</v>
      </c>
      <c r="F42" s="16">
        <f>IF(COUNT(F7:F41) &gt; 0, SQRT(SUMSQ(F7:F41)/(COUNT(F7:F41)*COUNT(F7:F41)) ), "—")</f>
        <v>0.40839359980132345</v>
      </c>
      <c r="G42" s="14">
        <f>IF(COUNT(G7:G41) &gt; 0, AVERAGE(G7:G41), "—")</f>
        <v>62.632220418750009</v>
      </c>
      <c r="H42" s="16">
        <f>IF(COUNT(H7:H41) &gt; 0, SQRT(SUMSQ(H7:H41)/(COUNT(H7:H41)*COUNT(H7:H41)) ), "—")</f>
        <v>0.40839359980132345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52.087126150000003</v>
      </c>
      <c r="F46" s="16">
        <v>1.7630446399999999</v>
      </c>
      <c r="G46" s="14">
        <v>47.912873849999997</v>
      </c>
      <c r="H46" s="16">
        <v>1.7630446399999999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54.404379570000003</v>
      </c>
      <c r="F47" s="16">
        <v>2.6919138199999999</v>
      </c>
      <c r="G47" s="14">
        <v>45.595620429999997</v>
      </c>
      <c r="H47" s="16">
        <v>2.6919138199999999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37.748540319999996</v>
      </c>
      <c r="F48" s="16">
        <v>2.0786924899999999</v>
      </c>
      <c r="G48" s="14">
        <v>62.251459680000004</v>
      </c>
      <c r="H48" s="16">
        <v>2.0786924899999999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52.741496570000002</v>
      </c>
      <c r="F50" s="16">
        <v>2.1636648100000002</v>
      </c>
      <c r="G50" s="14">
        <v>47.258503429999998</v>
      </c>
      <c r="H50" s="16">
        <v>2.1636648100000002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45.485180909999997</v>
      </c>
      <c r="F51" s="16">
        <v>2.3518191000000002</v>
      </c>
      <c r="G51" s="14">
        <v>54.514819090000003</v>
      </c>
      <c r="H51" s="16">
        <v>2.3518191000000002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35.598144779999998</v>
      </c>
      <c r="F52" s="16">
        <v>2.47745858</v>
      </c>
      <c r="G52" s="14">
        <v>64.401855220000002</v>
      </c>
      <c r="H52" s="16">
        <v>2.47745858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55.376741690000003</v>
      </c>
      <c r="F53" s="16">
        <v>1.8541919099999999</v>
      </c>
      <c r="G53" s="14">
        <v>44.623258309999997</v>
      </c>
      <c r="H53" s="16">
        <v>1.8541919099999999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35.140032189999999</v>
      </c>
      <c r="F56" s="16">
        <v>2.1641302599999999</v>
      </c>
      <c r="G56" s="14">
        <v>64.859967810000001</v>
      </c>
      <c r="H56" s="16">
        <v>2.1641302599999999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47.096332459999999</v>
      </c>
      <c r="F61" s="16">
        <v>2.6916955100000002</v>
      </c>
      <c r="G61" s="14">
        <v>52.903667540000001</v>
      </c>
      <c r="H61" s="16">
        <v>2.6916955100000002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38.651687039999999</v>
      </c>
      <c r="F62" s="16">
        <v>2.3588106099999999</v>
      </c>
      <c r="G62" s="14">
        <v>61.348312960000001</v>
      </c>
      <c r="H62" s="16">
        <v>2.3588106099999999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61.741088210000001</v>
      </c>
      <c r="F66" s="16">
        <v>2.25544207</v>
      </c>
      <c r="G66" s="14">
        <v>38.258911789999999</v>
      </c>
      <c r="H66" s="16">
        <v>2.25544207</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51.190980840000002</v>
      </c>
      <c r="F67" s="16">
        <v>2.65157855</v>
      </c>
      <c r="G67" s="14">
        <v>48.809019159999998</v>
      </c>
      <c r="H67" s="16">
        <v>2.65157855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43.71579165</v>
      </c>
      <c r="F70" s="16">
        <v>2.4458286600000001</v>
      </c>
      <c r="G70" s="14">
        <v>56.28420835</v>
      </c>
      <c r="H70" s="16">
        <v>2.4458286600000001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30.605942420000002</v>
      </c>
      <c r="F72" s="16">
        <v>1.87112368</v>
      </c>
      <c r="G72" s="14">
        <v>69.394057579999995</v>
      </c>
      <c r="H72" s="16">
        <v>1.87112368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52.69854145</v>
      </c>
      <c r="F73" s="16">
        <v>2.77398247</v>
      </c>
      <c r="G73" s="14">
        <v>47.30145855</v>
      </c>
      <c r="H73" s="16">
        <v>2.77398247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67.470233739999998</v>
      </c>
      <c r="F75" s="16">
        <v>2.5613581299999999</v>
      </c>
      <c r="G75" s="14">
        <v>32.529766260000002</v>
      </c>
      <c r="H75" s="16">
        <v>2.5613581299999999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62.850831499999998</v>
      </c>
      <c r="F76" s="16">
        <v>1.5296692199999999</v>
      </c>
      <c r="G76" s="14">
        <v>37.149168500000002</v>
      </c>
      <c r="H76" s="16">
        <v>1.5296692199999999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49.843375479999999</v>
      </c>
      <c r="F77" s="16">
        <v>2.67083694</v>
      </c>
      <c r="G77" s="14">
        <v>50.156624520000001</v>
      </c>
      <c r="H77" s="16">
        <v>2.67083694</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46.54626691</v>
      </c>
      <c r="F81" s="16">
        <v>2.6331118500000001</v>
      </c>
      <c r="G81" s="14">
        <v>53.45373309</v>
      </c>
      <c r="H81" s="16">
        <v>2.6331118500000001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45.197444539999999</v>
      </c>
      <c r="F7" s="16">
        <v>1.8441176500000001</v>
      </c>
      <c r="G7" s="14">
        <v>54.802555460000001</v>
      </c>
      <c r="H7" s="16">
        <v>1.8441176500000001</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40.066576480000002</v>
      </c>
      <c r="F8" s="16">
        <v>2.1096144099999998</v>
      </c>
      <c r="G8" s="14">
        <v>59.933423519999998</v>
      </c>
      <c r="H8" s="16">
        <v>2.1096144099999998</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47.99206461</v>
      </c>
      <c r="F9" s="16">
        <v>2.0183442</v>
      </c>
      <c r="G9" s="14">
        <v>52.00793539</v>
      </c>
      <c r="H9" s="16">
        <v>2.0183442</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38.289312420000002</v>
      </c>
      <c r="F10" s="16">
        <v>1.56085692</v>
      </c>
      <c r="G10" s="14">
        <v>61.710687579999998</v>
      </c>
      <c r="H10" s="16">
        <v>1.56085692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60.316636459999998</v>
      </c>
      <c r="F11" s="16">
        <v>2.53369233</v>
      </c>
      <c r="G11" s="14">
        <v>39.683363540000002</v>
      </c>
      <c r="H11" s="16">
        <v>2.53369233</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50.343713049999998</v>
      </c>
      <c r="F12" s="16">
        <v>2.19279534</v>
      </c>
      <c r="G12" s="14">
        <v>49.656286950000002</v>
      </c>
      <c r="H12" s="16">
        <v>2.19279534</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42.938344110000003</v>
      </c>
      <c r="F13" s="16">
        <v>2.61353715</v>
      </c>
      <c r="G13" s="14">
        <v>57.061655889999997</v>
      </c>
      <c r="H13" s="16">
        <v>2.61353715</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43.195307329999999</v>
      </c>
      <c r="F14" s="16">
        <v>2.45571407</v>
      </c>
      <c r="G14" s="14">
        <v>56.804692670000001</v>
      </c>
      <c r="H14" s="16">
        <v>2.45571407</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37.971046749999999</v>
      </c>
      <c r="F15" s="16">
        <v>2.0996481500000002</v>
      </c>
      <c r="G15" s="14">
        <v>62.028953250000001</v>
      </c>
      <c r="H15" s="16">
        <v>2.0996481500000002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51.077601549999997</v>
      </c>
      <c r="F16" s="16">
        <v>2.5904185800000001</v>
      </c>
      <c r="G16" s="14">
        <v>48.922398450000003</v>
      </c>
      <c r="H16" s="16">
        <v>2.5904185800000001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43.674929779999999</v>
      </c>
      <c r="F17" s="16">
        <v>2.3919374800000002</v>
      </c>
      <c r="G17" s="14">
        <v>56.325070220000001</v>
      </c>
      <c r="H17" s="16">
        <v>2.3919374800000002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56.07143276</v>
      </c>
      <c r="F18" s="16">
        <v>2.5388773200000001</v>
      </c>
      <c r="G18" s="14">
        <v>43.92856724</v>
      </c>
      <c r="H18" s="16">
        <v>2.5388773200000001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58.89273506</v>
      </c>
      <c r="F19" s="16">
        <v>2.61478359</v>
      </c>
      <c r="G19" s="14">
        <v>41.10726494</v>
      </c>
      <c r="H19" s="16">
        <v>2.61478359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54.893271660000003</v>
      </c>
      <c r="F20" s="16">
        <v>2.8720618199999999</v>
      </c>
      <c r="G20" s="14">
        <v>45.106728339999997</v>
      </c>
      <c r="H20" s="16">
        <v>2.8720618199999999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60.813991559999998</v>
      </c>
      <c r="F22" s="16">
        <v>2.4406479000000001</v>
      </c>
      <c r="G22" s="14">
        <v>39.186008440000002</v>
      </c>
      <c r="H22" s="16">
        <v>2.4406479000000001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56.281415459999998</v>
      </c>
      <c r="F23" s="16">
        <v>2.22365345</v>
      </c>
      <c r="G23" s="14">
        <v>43.718584540000002</v>
      </c>
      <c r="H23" s="16">
        <v>2.22365345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29.812911320000001</v>
      </c>
      <c r="F24" s="16">
        <v>1.8642594400000001</v>
      </c>
      <c r="G24" s="14">
        <v>70.187088680000002</v>
      </c>
      <c r="H24" s="16">
        <v>1.8642594400000001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33.056213800000002</v>
      </c>
      <c r="F25" s="16">
        <v>2.4134985100000002</v>
      </c>
      <c r="G25" s="14">
        <v>66.943786200000005</v>
      </c>
      <c r="H25" s="16">
        <v>2.4134985100000002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63.496419029999998</v>
      </c>
      <c r="F26" s="16">
        <v>2.89775034</v>
      </c>
      <c r="G26" s="14">
        <v>36.503580970000002</v>
      </c>
      <c r="H26" s="16">
        <v>2.89775034</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52.6563406</v>
      </c>
      <c r="F27" s="16">
        <v>2.8170655999999998</v>
      </c>
      <c r="G27" s="14">
        <v>47.3436594</v>
      </c>
      <c r="H27" s="16">
        <v>2.8170655999999998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60.446846139999998</v>
      </c>
      <c r="F28" s="16">
        <v>2.7506603900000002</v>
      </c>
      <c r="G28" s="14">
        <v>39.553153860000002</v>
      </c>
      <c r="H28" s="16">
        <v>2.7506603900000002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42.42504418</v>
      </c>
      <c r="F29" s="16">
        <v>2.3853493499999998</v>
      </c>
      <c r="G29" s="14">
        <v>57.57495582</v>
      </c>
      <c r="H29" s="16">
        <v>2.3853493499999998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46.038446149999999</v>
      </c>
      <c r="F30" s="16">
        <v>2.3085670600000001</v>
      </c>
      <c r="G30" s="14">
        <v>53.961553850000001</v>
      </c>
      <c r="H30" s="16">
        <v>2.3085670600000001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55.018381499999997</v>
      </c>
      <c r="F31" s="16">
        <v>2.3231505600000002</v>
      </c>
      <c r="G31" s="14">
        <v>44.981618500000003</v>
      </c>
      <c r="H31" s="16">
        <v>2.3231505600000002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55.734740369999997</v>
      </c>
      <c r="F33" s="16">
        <v>2.4051770800000001</v>
      </c>
      <c r="G33" s="14">
        <v>44.265259630000003</v>
      </c>
      <c r="H33" s="16">
        <v>2.4051770800000001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62.79395839</v>
      </c>
      <c r="F34" s="16">
        <v>2.1396034400000001</v>
      </c>
      <c r="G34" s="14">
        <v>37.20604161</v>
      </c>
      <c r="H34" s="16">
        <v>2.1396034400000001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45.750673880000001</v>
      </c>
      <c r="F35" s="16">
        <v>2.8553056899999998</v>
      </c>
      <c r="G35" s="14">
        <v>54.249326119999999</v>
      </c>
      <c r="H35" s="16">
        <v>2.8553056899999998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47.514636680000002</v>
      </c>
      <c r="F36" s="16">
        <v>2.1064128599999998</v>
      </c>
      <c r="G36" s="14">
        <v>52.485363319999998</v>
      </c>
      <c r="H36" s="16">
        <v>2.1064128599999998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52.544470750000002</v>
      </c>
      <c r="F37" s="16">
        <v>2.6815013099999998</v>
      </c>
      <c r="G37" s="14">
        <v>47.455529249999998</v>
      </c>
      <c r="H37" s="16">
        <v>2.6815013099999998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67.335244630000005</v>
      </c>
      <c r="F39" s="16">
        <v>2.24463401</v>
      </c>
      <c r="G39" s="14">
        <v>32.664755370000002</v>
      </c>
      <c r="H39" s="16">
        <v>2.24463401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43.005778970000001</v>
      </c>
      <c r="F40" s="16">
        <v>2.3045973800000001</v>
      </c>
      <c r="G40" s="14">
        <v>56.994221029999999</v>
      </c>
      <c r="H40" s="16">
        <v>2.3045973800000001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43.911544480000003</v>
      </c>
      <c r="F41" s="16">
        <v>2.2793640399999999</v>
      </c>
      <c r="G41" s="14">
        <v>56.088455519999997</v>
      </c>
      <c r="H41" s="16">
        <v>2.2793640399999999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49.673671076562499</v>
      </c>
      <c r="F42" s="16">
        <f>IF(COUNT(F7:F41) &gt; 0, SQRT(SUMSQ(F7:F41)/(COUNT(F7:F41)*COUNT(F7:F41)) ), "—")</f>
        <v>0.42277379268343934</v>
      </c>
      <c r="G42" s="14">
        <f>IF(COUNT(G7:G41) &gt; 0, AVERAGE(G7:G41), "—")</f>
        <v>50.326328923437508</v>
      </c>
      <c r="H42" s="16">
        <f>IF(COUNT(H7:H41) &gt; 0, SQRT(SUMSQ(H7:H41)/(COUNT(H7:H41)*COUNT(H7:H41)) ), "—")</f>
        <v>0.42277379268343934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66.423959190000005</v>
      </c>
      <c r="F46" s="16">
        <v>1.55649561</v>
      </c>
      <c r="G46" s="14">
        <v>33.576040810000002</v>
      </c>
      <c r="H46" s="16">
        <v>1.55649561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61.959550960000001</v>
      </c>
      <c r="F47" s="16">
        <v>2.27154883</v>
      </c>
      <c r="G47" s="14">
        <v>38.040449039999999</v>
      </c>
      <c r="H47" s="16">
        <v>2.27154883</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48.041335650000001</v>
      </c>
      <c r="F48" s="16">
        <v>1.87488229</v>
      </c>
      <c r="G48" s="14">
        <v>51.958664349999999</v>
      </c>
      <c r="H48" s="16">
        <v>1.87488229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67.375045589999999</v>
      </c>
      <c r="F50" s="16">
        <v>2.0617743599999998</v>
      </c>
      <c r="G50" s="14">
        <v>32.624954410000001</v>
      </c>
      <c r="H50" s="16">
        <v>2.0617743599999998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68.350391020000004</v>
      </c>
      <c r="F51" s="16">
        <v>2.2487911700000001</v>
      </c>
      <c r="G51" s="14">
        <v>31.64960898</v>
      </c>
      <c r="H51" s="16">
        <v>2.2487911700000001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57.830251969999999</v>
      </c>
      <c r="F52" s="16">
        <v>2.9244883399999999</v>
      </c>
      <c r="G52" s="14">
        <v>42.169748030000001</v>
      </c>
      <c r="H52" s="16">
        <v>2.9244883399999999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61.564206630000001</v>
      </c>
      <c r="F53" s="16">
        <v>2.2493995299999998</v>
      </c>
      <c r="G53" s="14">
        <v>38.435793369999999</v>
      </c>
      <c r="H53" s="16">
        <v>2.2493995299999998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31.299870840000001</v>
      </c>
      <c r="F56" s="16">
        <v>2.4775639599999999</v>
      </c>
      <c r="G56" s="14">
        <v>68.700129160000003</v>
      </c>
      <c r="H56" s="16">
        <v>2.4775639599999999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60.019795690000002</v>
      </c>
      <c r="F61" s="16">
        <v>2.7463192400000001</v>
      </c>
      <c r="G61" s="14">
        <v>39.980204309999998</v>
      </c>
      <c r="H61" s="16">
        <v>2.7463192400000001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33.019592189999997</v>
      </c>
      <c r="F62" s="16">
        <v>2.3084805899999998</v>
      </c>
      <c r="G62" s="14">
        <v>66.980407810000003</v>
      </c>
      <c r="H62" s="16">
        <v>2.3084805899999998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68.061408479999997</v>
      </c>
      <c r="F66" s="16">
        <v>2.1091107999999998</v>
      </c>
      <c r="G66" s="14">
        <v>31.938591519999999</v>
      </c>
      <c r="H66" s="16">
        <v>2.1091107999999998</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65.355296449999997</v>
      </c>
      <c r="F67" s="16">
        <v>1.7750800799999999</v>
      </c>
      <c r="G67" s="14">
        <v>34.644703550000003</v>
      </c>
      <c r="H67" s="16">
        <v>1.7750800799999999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55.398419019999999</v>
      </c>
      <c r="F70" s="16">
        <v>2.8845675599999998</v>
      </c>
      <c r="G70" s="14">
        <v>44.601580980000001</v>
      </c>
      <c r="H70" s="16">
        <v>2.8845675599999998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29.897951970000001</v>
      </c>
      <c r="F72" s="16">
        <v>1.77173588</v>
      </c>
      <c r="G72" s="14">
        <v>70.102048030000006</v>
      </c>
      <c r="H72" s="16">
        <v>1.77173588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68.329592790000007</v>
      </c>
      <c r="F73" s="16">
        <v>2.72243462</v>
      </c>
      <c r="G73" s="14">
        <v>31.67040721</v>
      </c>
      <c r="H73" s="16">
        <v>2.72243462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80.486617589999994</v>
      </c>
      <c r="F75" s="16">
        <v>2.2252385499999998</v>
      </c>
      <c r="G75" s="14">
        <v>19.513382409999998</v>
      </c>
      <c r="H75" s="16">
        <v>2.2252385499999998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65.963162460000007</v>
      </c>
      <c r="F76" s="16">
        <v>1.68068639</v>
      </c>
      <c r="G76" s="14">
        <v>34.036837540000001</v>
      </c>
      <c r="H76" s="16">
        <v>1.68068639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61.186947170000003</v>
      </c>
      <c r="F77" s="16">
        <v>2.5590004500000001</v>
      </c>
      <c r="G77" s="14">
        <v>38.813052829999997</v>
      </c>
      <c r="H77" s="16">
        <v>2.5590004500000001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64.067904839999997</v>
      </c>
      <c r="F81" s="16">
        <v>2.1457492899999999</v>
      </c>
      <c r="G81" s="14">
        <v>35.932095160000003</v>
      </c>
      <c r="H81" s="16">
        <v>2.1457492899999999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31.653097089999999</v>
      </c>
      <c r="F7" s="16">
        <v>1.4817078800000001</v>
      </c>
      <c r="G7" s="14">
        <v>68.346902909999997</v>
      </c>
      <c r="H7" s="16">
        <v>1.4817078800000001</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26.240495259999999</v>
      </c>
      <c r="F8" s="16">
        <v>2.2740875800000002</v>
      </c>
      <c r="G8" s="14">
        <v>73.759504739999997</v>
      </c>
      <c r="H8" s="16">
        <v>2.2740875800000002</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27.824581439999999</v>
      </c>
      <c r="F9" s="16">
        <v>1.5963876100000001</v>
      </c>
      <c r="G9" s="14">
        <v>72.175418559999997</v>
      </c>
      <c r="H9" s="16">
        <v>1.5963876100000001</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25.012309120000001</v>
      </c>
      <c r="F10" s="16">
        <v>1.57346718</v>
      </c>
      <c r="G10" s="14">
        <v>74.987690880000002</v>
      </c>
      <c r="H10" s="16">
        <v>1.57346718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22.910767929999999</v>
      </c>
      <c r="F11" s="16">
        <v>2.1713289800000002</v>
      </c>
      <c r="G11" s="14">
        <v>77.089232069999994</v>
      </c>
      <c r="H11" s="16">
        <v>2.1713289800000002</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29.895821940000001</v>
      </c>
      <c r="F12" s="16">
        <v>2.2760756400000002</v>
      </c>
      <c r="G12" s="14">
        <v>70.104178059999995</v>
      </c>
      <c r="H12" s="16">
        <v>2.2760756400000002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20.030807509999999</v>
      </c>
      <c r="F13" s="16">
        <v>1.8899121699999999</v>
      </c>
      <c r="G13" s="14">
        <v>79.969192489999998</v>
      </c>
      <c r="H13" s="16">
        <v>1.8899121699999999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23.138024399999999</v>
      </c>
      <c r="F14" s="16">
        <v>2.2533695100000002</v>
      </c>
      <c r="G14" s="14">
        <v>76.861975599999994</v>
      </c>
      <c r="H14" s="16">
        <v>2.2533695100000002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17.64409281</v>
      </c>
      <c r="F15" s="16">
        <v>1.9045695300000001</v>
      </c>
      <c r="G15" s="14">
        <v>82.355907189999996</v>
      </c>
      <c r="H15" s="16">
        <v>1.9045695300000001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26.756659840000001</v>
      </c>
      <c r="F16" s="16">
        <v>2.4405439900000001</v>
      </c>
      <c r="G16" s="14">
        <v>73.243340160000002</v>
      </c>
      <c r="H16" s="16">
        <v>2.4405439900000001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22.5467224</v>
      </c>
      <c r="F17" s="16">
        <v>2.4298539899999998</v>
      </c>
      <c r="G17" s="14">
        <v>77.453277600000007</v>
      </c>
      <c r="H17" s="16">
        <v>2.4298539899999998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31.163828380000002</v>
      </c>
      <c r="F18" s="16">
        <v>2.5794239299999999</v>
      </c>
      <c r="G18" s="14">
        <v>68.836171620000002</v>
      </c>
      <c r="H18" s="16">
        <v>2.5794239299999999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22.557625890000001</v>
      </c>
      <c r="F19" s="16">
        <v>2.0833303500000002</v>
      </c>
      <c r="G19" s="14">
        <v>77.442374110000003</v>
      </c>
      <c r="H19" s="16">
        <v>2.0833303500000002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27.116027899999999</v>
      </c>
      <c r="F20" s="16">
        <v>2.9329100600000002</v>
      </c>
      <c r="G20" s="14">
        <v>72.883972099999994</v>
      </c>
      <c r="H20" s="16">
        <v>2.9329100600000002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32.063961890000002</v>
      </c>
      <c r="F22" s="16">
        <v>2.84441451</v>
      </c>
      <c r="G22" s="14">
        <v>67.936038109999998</v>
      </c>
      <c r="H22" s="16">
        <v>2.84441451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28.626508690000001</v>
      </c>
      <c r="F23" s="16">
        <v>2.13925564</v>
      </c>
      <c r="G23" s="14">
        <v>71.373491310000006</v>
      </c>
      <c r="H23" s="16">
        <v>2.13925564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18.641559220000001</v>
      </c>
      <c r="F24" s="16">
        <v>1.82534492</v>
      </c>
      <c r="G24" s="14">
        <v>81.358440779999995</v>
      </c>
      <c r="H24" s="16">
        <v>1.82534492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31.644588670000001</v>
      </c>
      <c r="F25" s="16">
        <v>1.9018214499999999</v>
      </c>
      <c r="G25" s="14">
        <v>68.355411329999995</v>
      </c>
      <c r="H25" s="16">
        <v>1.9018214499999999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24.638514579999999</v>
      </c>
      <c r="F26" s="16">
        <v>2.3557445800000001</v>
      </c>
      <c r="G26" s="14">
        <v>75.361485419999994</v>
      </c>
      <c r="H26" s="16">
        <v>2.3557445800000001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31.039633389999999</v>
      </c>
      <c r="F27" s="16">
        <v>2.36482123</v>
      </c>
      <c r="G27" s="14">
        <v>68.960366609999994</v>
      </c>
      <c r="H27" s="16">
        <v>2.36482123</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29.057103590000001</v>
      </c>
      <c r="F28" s="16">
        <v>1.9786975600000001</v>
      </c>
      <c r="G28" s="14">
        <v>70.942896410000003</v>
      </c>
      <c r="H28" s="16">
        <v>1.9786975600000001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26.933256950000001</v>
      </c>
      <c r="F29" s="16">
        <v>2.1165421100000001</v>
      </c>
      <c r="G29" s="14">
        <v>73.066743049999999</v>
      </c>
      <c r="H29" s="16">
        <v>2.1165421100000001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24.71316873</v>
      </c>
      <c r="F30" s="16">
        <v>1.7928535999999999</v>
      </c>
      <c r="G30" s="14">
        <v>75.286831269999993</v>
      </c>
      <c r="H30" s="16">
        <v>1.7928535999999999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21.347128720000001</v>
      </c>
      <c r="F31" s="16">
        <v>1.9015445600000001</v>
      </c>
      <c r="G31" s="14">
        <v>78.652871279999999</v>
      </c>
      <c r="H31" s="16">
        <v>1.9015445600000001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24.347133159999998</v>
      </c>
      <c r="F33" s="16">
        <v>1.8409591300000001</v>
      </c>
      <c r="G33" s="14">
        <v>75.652866840000002</v>
      </c>
      <c r="H33" s="16">
        <v>1.8409591300000001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32.494035009999997</v>
      </c>
      <c r="F34" s="16">
        <v>2.3115781000000002</v>
      </c>
      <c r="G34" s="14">
        <v>67.505964989999995</v>
      </c>
      <c r="H34" s="16">
        <v>2.3115781000000002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29.930067099999999</v>
      </c>
      <c r="F35" s="16">
        <v>2.28344491</v>
      </c>
      <c r="G35" s="14">
        <v>70.069932899999998</v>
      </c>
      <c r="H35" s="16">
        <v>2.28344491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22.72639912</v>
      </c>
      <c r="F36" s="16">
        <v>2.11745246</v>
      </c>
      <c r="G36" s="14">
        <v>77.273600880000004</v>
      </c>
      <c r="H36" s="16">
        <v>2.11745246</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25.685473550000001</v>
      </c>
      <c r="F37" s="16">
        <v>2.4677012399999998</v>
      </c>
      <c r="G37" s="14">
        <v>74.314526450000002</v>
      </c>
      <c r="H37" s="16">
        <v>2.4677012399999998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(6000/B40*100)</f>
        <v>82.930200414650997</v>
      </c>
      <c r="D40" s="15">
        <v>1235</v>
      </c>
      <c r="E40" s="14">
        <v>26.90061764</v>
      </c>
      <c r="F40" s="16">
        <v>1.7650704500000001</v>
      </c>
      <c r="G40" s="14">
        <v>73.099382360000007</v>
      </c>
      <c r="H40" s="16">
        <v>1.7650704500000001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25.473491660000001</v>
      </c>
      <c r="F41" s="16">
        <v>2.2747136600000002</v>
      </c>
      <c r="G41" s="14">
        <v>74.526508340000007</v>
      </c>
      <c r="H41" s="16">
        <v>2.2747136600000002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25.336046986874994</v>
      </c>
      <c r="F42" s="16">
        <f>IF(COUNT(F7:F41) &gt; 0, SQRT(SUMSQ(F7:F41)/(COUNT(F7:F41)*COUNT(F7:F41)) ), "—")</f>
        <v>0.37605569695827151</v>
      </c>
      <c r="G42" s="14">
        <f>IF(COUNT(G7:G41) &gt; 0, AVERAGE(G7:G41), "—")</f>
        <v>71.538953013124996</v>
      </c>
      <c r="H42" s="16">
        <f>IF(COUNT(H7:H41) &gt; 0, SQRT(SUMSQ(H7:H41)/(COUNT(H7:H41)*COUNT(H7:H41)) ), "—")</f>
        <v>0.37605569695827151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36.679246630000002</v>
      </c>
      <c r="F46" s="16">
        <v>1.8168081599999999</v>
      </c>
      <c r="G46" s="14">
        <v>63.320753369999998</v>
      </c>
      <c r="H46" s="16">
        <v>1.8168081599999999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41.760413219999997</v>
      </c>
      <c r="F47" s="16">
        <v>1.9631249399999999</v>
      </c>
      <c r="G47" s="14">
        <v>58.239586780000003</v>
      </c>
      <c r="H47" s="16">
        <v>1.9631249399999999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24.93832411</v>
      </c>
      <c r="F48" s="16">
        <v>2.0458691600000001</v>
      </c>
      <c r="G48" s="14">
        <v>75.061675890000004</v>
      </c>
      <c r="H48" s="16">
        <v>2.0458691600000001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29.293605759999998</v>
      </c>
      <c r="F50" s="16">
        <v>2.23890733</v>
      </c>
      <c r="G50" s="14">
        <v>70.706394239999995</v>
      </c>
      <c r="H50" s="16">
        <v>2.23890733</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25.774028229999999</v>
      </c>
      <c r="F51" s="16">
        <v>2.2411016099999999</v>
      </c>
      <c r="G51" s="14">
        <v>74.225971770000001</v>
      </c>
      <c r="H51" s="16">
        <v>2.2411016099999999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27.26395548</v>
      </c>
      <c r="F52" s="16">
        <v>2.13020488</v>
      </c>
      <c r="G52" s="14">
        <v>72.736044519999993</v>
      </c>
      <c r="H52" s="16">
        <v>2.13020488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45.328547550000003</v>
      </c>
      <c r="F53" s="16">
        <v>2.2744513500000001</v>
      </c>
      <c r="G53" s="14">
        <v>54.671452449999997</v>
      </c>
      <c r="H53" s="16">
        <v>2.2744513500000001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19.476374870000001</v>
      </c>
      <c r="F56" s="16">
        <v>2.03670675</v>
      </c>
      <c r="G56" s="14">
        <v>80.523625129999999</v>
      </c>
      <c r="H56" s="16">
        <v>2.03670675</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30.612351660000002</v>
      </c>
      <c r="F61" s="16">
        <v>2.1095974399999999</v>
      </c>
      <c r="G61" s="14">
        <v>69.387648339999998</v>
      </c>
      <c r="H61" s="16">
        <v>2.1095974399999999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24.381705490000002</v>
      </c>
      <c r="F62" s="16">
        <v>2.1314834500000002</v>
      </c>
      <c r="G62" s="14">
        <v>75.618294509999998</v>
      </c>
      <c r="H62" s="16">
        <v>2.1314834500000002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40.948956000000003</v>
      </c>
      <c r="F66" s="16">
        <v>2.49503333</v>
      </c>
      <c r="G66" s="14">
        <v>59.051043999999997</v>
      </c>
      <c r="H66" s="16">
        <v>2.49503333</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28.379225909999999</v>
      </c>
      <c r="F67" s="16">
        <v>2.0537046999999999</v>
      </c>
      <c r="G67" s="14">
        <v>71.620774089999998</v>
      </c>
      <c r="H67" s="16">
        <v>2.0537046999999999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28.692003740000001</v>
      </c>
      <c r="F70" s="16">
        <v>2.3702064699999998</v>
      </c>
      <c r="G70" s="14">
        <v>71.307996259999996</v>
      </c>
      <c r="H70" s="16">
        <v>2.3702064699999998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20.620734899999999</v>
      </c>
      <c r="F72" s="16">
        <v>1.7312493099999999</v>
      </c>
      <c r="G72" s="14">
        <v>79.379265099999998</v>
      </c>
      <c r="H72" s="16">
        <v>1.7312493099999999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47.954412830000003</v>
      </c>
      <c r="F73" s="16">
        <v>2.9345855900000002</v>
      </c>
      <c r="G73" s="14">
        <v>52.045587169999997</v>
      </c>
      <c r="H73" s="16">
        <v>2.9345855900000002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44.812642429999997</v>
      </c>
      <c r="F75" s="16">
        <v>2.9113805199999998</v>
      </c>
      <c r="G75" s="14">
        <v>55.187357570000003</v>
      </c>
      <c r="H75" s="16">
        <v>2.9113805199999998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44.191266169999999</v>
      </c>
      <c r="F76" s="16">
        <v>2.0519788999999999</v>
      </c>
      <c r="G76" s="14">
        <v>55.808733830000001</v>
      </c>
      <c r="H76" s="16">
        <v>2.0519788999999999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35.437736229999999</v>
      </c>
      <c r="F77" s="16">
        <v>2.5399232500000002</v>
      </c>
      <c r="G77" s="14">
        <v>64.562263770000001</v>
      </c>
      <c r="H77" s="16">
        <v>2.5399232500000002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37.925439849999997</v>
      </c>
      <c r="F81" s="16">
        <v>2.3225016300000001</v>
      </c>
      <c r="G81" s="14">
        <v>62.074560150000003</v>
      </c>
      <c r="H81" s="16">
        <v>2.3225016300000001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58.479262890000001</v>
      </c>
      <c r="F7" s="16">
        <v>1.6681972300000001</v>
      </c>
      <c r="G7" s="14">
        <v>41.520737109999999</v>
      </c>
      <c r="H7" s="16">
        <v>1.6681972300000001</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61.562546410000003</v>
      </c>
      <c r="F8" s="16">
        <v>2.3302105200000001</v>
      </c>
      <c r="G8" s="14">
        <v>38.437453589999997</v>
      </c>
      <c r="H8" s="16">
        <v>2.3302105200000001</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54.439555759999998</v>
      </c>
      <c r="F9" s="16">
        <v>2.0855814700000002</v>
      </c>
      <c r="G9" s="14">
        <v>45.560444240000002</v>
      </c>
      <c r="H9" s="16">
        <v>2.0855814700000002</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52.930345500000001</v>
      </c>
      <c r="F10" s="16">
        <v>1.5881641500000001</v>
      </c>
      <c r="G10" s="14">
        <v>47.069654499999999</v>
      </c>
      <c r="H10" s="16">
        <v>1.5881641500000001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62.665561349999997</v>
      </c>
      <c r="F11" s="16">
        <v>2.0920915099999999</v>
      </c>
      <c r="G11" s="14">
        <v>37.334438650000003</v>
      </c>
      <c r="H11" s="16">
        <v>2.0920915099999999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60.991985479999997</v>
      </c>
      <c r="F12" s="16">
        <v>2.5496890799999998</v>
      </c>
      <c r="G12" s="14">
        <v>39.008014520000003</v>
      </c>
      <c r="H12" s="16">
        <v>2.5496890799999998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57.27033505</v>
      </c>
      <c r="F13" s="16">
        <v>3.0859454500000001</v>
      </c>
      <c r="G13" s="14">
        <v>42.72966495</v>
      </c>
      <c r="H13" s="16">
        <v>3.0859454500000001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50.387332360000002</v>
      </c>
      <c r="F14" s="16">
        <v>2.9665875599999998</v>
      </c>
      <c r="G14" s="14">
        <v>49.612667639999998</v>
      </c>
      <c r="H14" s="16">
        <v>2.9665875599999998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50.878257849999997</v>
      </c>
      <c r="F15" s="16">
        <v>2.10695218</v>
      </c>
      <c r="G15" s="14">
        <v>49.121742150000003</v>
      </c>
      <c r="H15" s="16">
        <v>2.10695218</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55.422551409999997</v>
      </c>
      <c r="F16" s="16">
        <v>2.2598468999999999</v>
      </c>
      <c r="G16" s="14">
        <v>44.577448590000003</v>
      </c>
      <c r="H16" s="16">
        <v>2.2598468999999999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50.312145889999996</v>
      </c>
      <c r="F17" s="16">
        <v>2.65086457</v>
      </c>
      <c r="G17" s="14">
        <v>49.687854110000004</v>
      </c>
      <c r="H17" s="16">
        <v>2.65086457</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72.088234139999997</v>
      </c>
      <c r="F18" s="16">
        <v>1.9463905800000001</v>
      </c>
      <c r="G18" s="14">
        <v>27.911765859999999</v>
      </c>
      <c r="H18" s="16">
        <v>1.9463905800000001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68.429760959999996</v>
      </c>
      <c r="F19" s="16">
        <v>2.3256308099999998</v>
      </c>
      <c r="G19" s="14">
        <v>31.570239040000001</v>
      </c>
      <c r="H19" s="16">
        <v>2.3256308099999998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64.252492180000004</v>
      </c>
      <c r="F20" s="16">
        <v>3.2287251399999999</v>
      </c>
      <c r="G20" s="14">
        <v>35.747507820000003</v>
      </c>
      <c r="H20" s="16">
        <v>3.2287251399999999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66.474906369999999</v>
      </c>
      <c r="F22" s="16">
        <v>2.1802222499999999</v>
      </c>
      <c r="G22" s="14">
        <v>33.525093630000001</v>
      </c>
      <c r="H22" s="16">
        <v>2.1802222499999999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58.363752349999999</v>
      </c>
      <c r="F23" s="16">
        <v>2.25779905</v>
      </c>
      <c r="G23" s="14">
        <v>41.636247650000001</v>
      </c>
      <c r="H23" s="16">
        <v>2.25779905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43.732308099999997</v>
      </c>
      <c r="F24" s="16">
        <v>2.51483415</v>
      </c>
      <c r="G24" s="14">
        <v>56.267691900000003</v>
      </c>
      <c r="H24" s="16">
        <v>2.51483415</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46.762542949999997</v>
      </c>
      <c r="F25" s="16">
        <v>2.56464428</v>
      </c>
      <c r="G25" s="14">
        <v>53.237457050000003</v>
      </c>
      <c r="H25" s="16">
        <v>2.56464428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65.154621930000005</v>
      </c>
      <c r="F26" s="16">
        <v>2.49209937</v>
      </c>
      <c r="G26" s="14">
        <v>34.845378070000002</v>
      </c>
      <c r="H26" s="16">
        <v>2.49209937</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59.160662770000002</v>
      </c>
      <c r="F27" s="16">
        <v>2.5576895199999998</v>
      </c>
      <c r="G27" s="14">
        <v>40.839337229999998</v>
      </c>
      <c r="H27" s="16">
        <v>2.5576895199999998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74.223798639999998</v>
      </c>
      <c r="F28" s="16">
        <v>2.2698281699999998</v>
      </c>
      <c r="G28" s="14">
        <v>25.776201360000002</v>
      </c>
      <c r="H28" s="16">
        <v>2.2698281699999998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49.850002670000002</v>
      </c>
      <c r="F29" s="16">
        <v>2.2511999</v>
      </c>
      <c r="G29" s="14">
        <v>50.149997329999998</v>
      </c>
      <c r="H29" s="16">
        <v>2.2511999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57.713988039999997</v>
      </c>
      <c r="F30" s="16">
        <v>2.41481557</v>
      </c>
      <c r="G30" s="14">
        <v>42.286011960000003</v>
      </c>
      <c r="H30" s="16">
        <v>2.41481557</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59.37451497</v>
      </c>
      <c r="F31" s="16">
        <v>1.91169908</v>
      </c>
      <c r="G31" s="14">
        <v>40.62548503</v>
      </c>
      <c r="H31" s="16">
        <v>1.91169908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58.827973479999997</v>
      </c>
      <c r="F33" s="16">
        <v>2.25480875</v>
      </c>
      <c r="G33" s="14">
        <v>41.172026520000003</v>
      </c>
      <c r="H33" s="16">
        <v>2.25480875</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77.239356700000002</v>
      </c>
      <c r="F34" s="16">
        <v>1.92578874</v>
      </c>
      <c r="G34" s="14">
        <v>22.760643300000002</v>
      </c>
      <c r="H34" s="16">
        <v>1.92578874</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64.178137410000005</v>
      </c>
      <c r="F35" s="16">
        <v>2.51882589</v>
      </c>
      <c r="G35" s="14">
        <v>35.821862590000002</v>
      </c>
      <c r="H35" s="16">
        <v>2.51882589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53.071047010000001</v>
      </c>
      <c r="F36" s="16">
        <v>2.7005495000000002</v>
      </c>
      <c r="G36" s="14">
        <v>46.928952989999999</v>
      </c>
      <c r="H36" s="16">
        <v>2.7005495000000002</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59.617375490000001</v>
      </c>
      <c r="F37" s="16">
        <v>2.2985397500000002</v>
      </c>
      <c r="G37" s="14">
        <v>40.382624509999999</v>
      </c>
      <c r="H37" s="16">
        <v>2.2985397500000002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84.951165529999997</v>
      </c>
      <c r="F39" s="16">
        <v>1.44082493</v>
      </c>
      <c r="G39" s="14">
        <v>15.048834469999999</v>
      </c>
      <c r="H39" s="16">
        <v>1.44082493</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55.125266949999997</v>
      </c>
      <c r="F40" s="16">
        <v>2.2165446100000001</v>
      </c>
      <c r="G40" s="14">
        <v>44.874733050000003</v>
      </c>
      <c r="H40" s="16">
        <v>2.2165446100000001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52.684099850000003</v>
      </c>
      <c r="F41" s="16">
        <v>2.3712331799999999</v>
      </c>
      <c r="G41" s="14">
        <v>47.315900149999997</v>
      </c>
      <c r="H41" s="16">
        <v>2.3712331799999999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59.581746513750012</v>
      </c>
      <c r="F42" s="16">
        <f>IF(COUNT(F7:F41) &gt; 0, SQRT(SUMSQ(F7:F41)/(COUNT(F7:F41)*COUNT(F7:F41)) ), "—")</f>
        <v>0.4145987034989197</v>
      </c>
      <c r="G42" s="14">
        <f>IF(COUNT(G7:G41) &gt; 0, AVERAGE(G7:G41), "—")</f>
        <v>40.418253486249995</v>
      </c>
      <c r="H42" s="16">
        <f>IF(COUNT(H7:H41) &gt; 0, SQRT(SUMSQ(H7:H41)/(COUNT(H7:H41)*COUNT(H7:H41)) ), "—")</f>
        <v>0.4145987034989197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80.409010440000003</v>
      </c>
      <c r="F46" s="16">
        <v>1.3156664899999999</v>
      </c>
      <c r="G46" s="14">
        <v>19.590989560000001</v>
      </c>
      <c r="H46" s="16">
        <v>1.3156664899999999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78.077106970000003</v>
      </c>
      <c r="F47" s="16">
        <v>2.2426739599999999</v>
      </c>
      <c r="G47" s="14">
        <v>21.922893030000001</v>
      </c>
      <c r="H47" s="16">
        <v>2.2426739599999999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58.275871260000002</v>
      </c>
      <c r="F48" s="16">
        <v>1.8577362100000001</v>
      </c>
      <c r="G48" s="14">
        <v>41.724128739999998</v>
      </c>
      <c r="H48" s="16">
        <v>1.8577362100000001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77.651684430000003</v>
      </c>
      <c r="F50" s="16">
        <v>1.9889268499999999</v>
      </c>
      <c r="G50" s="14">
        <v>22.34831557</v>
      </c>
      <c r="H50" s="16">
        <v>1.9889268499999999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68.760843690000002</v>
      </c>
      <c r="F51" s="16">
        <v>2.3929699599999998</v>
      </c>
      <c r="G51" s="14">
        <v>31.239156309999998</v>
      </c>
      <c r="H51" s="16">
        <v>2.3929699599999998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69.960902619999999</v>
      </c>
      <c r="F52" s="16">
        <v>2.33107211</v>
      </c>
      <c r="G52" s="14">
        <v>30.039097380000001</v>
      </c>
      <c r="H52" s="16">
        <v>2.33107211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73.933241080000002</v>
      </c>
      <c r="F53" s="16">
        <v>1.8930245000000001</v>
      </c>
      <c r="G53" s="14">
        <v>26.066758920000002</v>
      </c>
      <c r="H53" s="16">
        <v>1.8930245000000001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42.427122619999999</v>
      </c>
      <c r="F56" s="16">
        <v>2.1912425299999998</v>
      </c>
      <c r="G56" s="14">
        <v>57.572877380000001</v>
      </c>
      <c r="H56" s="16">
        <v>2.1912425299999998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70.876051709999999</v>
      </c>
      <c r="F61" s="16">
        <v>2.1827452200000002</v>
      </c>
      <c r="G61" s="14">
        <v>29.123948290000001</v>
      </c>
      <c r="H61" s="16">
        <v>2.1827452200000002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48.045463419999997</v>
      </c>
      <c r="F62" s="16">
        <v>2.7209757300000001</v>
      </c>
      <c r="G62" s="14">
        <v>51.954536580000003</v>
      </c>
      <c r="H62" s="16">
        <v>2.7209757300000001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86.889612209999996</v>
      </c>
      <c r="F66" s="16">
        <v>1.6625963500000001</v>
      </c>
      <c r="G66" s="14">
        <v>13.110387790000001</v>
      </c>
      <c r="H66" s="16">
        <v>1.6625963500000001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75.699167549999999</v>
      </c>
      <c r="F67" s="16">
        <v>2.03872863</v>
      </c>
      <c r="G67" s="14">
        <v>24.300832450000001</v>
      </c>
      <c r="H67" s="16">
        <v>2.03872863</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67.147776210000004</v>
      </c>
      <c r="F70" s="16">
        <v>1.8204612200000001</v>
      </c>
      <c r="G70" s="14">
        <v>32.852223789999996</v>
      </c>
      <c r="H70" s="16">
        <v>1.8204612200000001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47.230238280000002</v>
      </c>
      <c r="F72" s="16">
        <v>1.9818066299999999</v>
      </c>
      <c r="G72" s="14">
        <v>52.769761719999998</v>
      </c>
      <c r="H72" s="16">
        <v>1.9818066299999999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79.809088149999994</v>
      </c>
      <c r="F73" s="16">
        <v>2.45313026</v>
      </c>
      <c r="G73" s="14">
        <v>20.190911849999999</v>
      </c>
      <c r="H73" s="16">
        <v>2.45313026</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89.179808010000002</v>
      </c>
      <c r="F75" s="16">
        <v>1.2722159500000001</v>
      </c>
      <c r="G75" s="14">
        <v>10.82019199</v>
      </c>
      <c r="H75" s="16">
        <v>1.2722159500000001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82.159495579999998</v>
      </c>
      <c r="F76" s="16">
        <v>1.31025974</v>
      </c>
      <c r="G76" s="14">
        <v>17.840504419999998</v>
      </c>
      <c r="H76" s="16">
        <v>1.31025974</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72.679505899999995</v>
      </c>
      <c r="F77" s="16">
        <v>2.2142893400000001</v>
      </c>
      <c r="G77" s="14">
        <v>27.320494100000001</v>
      </c>
      <c r="H77" s="16">
        <v>2.2142893400000001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75.358212609999995</v>
      </c>
      <c r="F81" s="16">
        <v>2.1951363700000002</v>
      </c>
      <c r="G81" s="14">
        <v>24.641787390000001</v>
      </c>
      <c r="H81" s="16">
        <v>2.1951363700000002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(6217/B7*100)</f>
        <v>84.389846613275424</v>
      </c>
      <c r="D7" s="15">
        <v>1150</v>
      </c>
      <c r="E7" s="14">
        <v>29.81175533</v>
      </c>
      <c r="F7" s="16">
        <v>1.45495007</v>
      </c>
      <c r="G7" s="14">
        <v>70.188244670000003</v>
      </c>
      <c r="H7" s="16">
        <v>1.45495007</v>
      </c>
      <c r="I7" s="14" t="s">
        <v>139</v>
      </c>
      <c r="J7" s="16" t="s">
        <v>139</v>
      </c>
      <c r="K7" s="14">
        <v>0</v>
      </c>
      <c r="L7" s="16">
        <v>0</v>
      </c>
      <c r="M7" s="14">
        <v>0</v>
      </c>
      <c r="N7" s="16">
        <v>0</v>
      </c>
      <c r="O7" s="14">
        <v>0</v>
      </c>
      <c r="P7" s="16">
        <v>0</v>
      </c>
      <c r="Q7" s="14">
        <v>0</v>
      </c>
      <c r="R7" s="16">
        <v>0</v>
      </c>
    </row>
    <row r="8" spans="1:18" x14ac:dyDescent="0.25">
      <c r="A8" s="11" t="s">
        <v>140</v>
      </c>
      <c r="B8" s="13">
        <v>3564</v>
      </c>
      <c r="C8" s="14">
        <f>(2984/B8*100)</f>
        <v>83.726150392817061</v>
      </c>
      <c r="D8" s="15">
        <v>580</v>
      </c>
      <c r="E8" s="14">
        <v>26.953369080000002</v>
      </c>
      <c r="F8" s="16">
        <v>2.2914304099999998</v>
      </c>
      <c r="G8" s="14">
        <v>73.046630919999998</v>
      </c>
      <c r="H8" s="16">
        <v>2.2914304099999998</v>
      </c>
      <c r="I8" s="14" t="s">
        <v>139</v>
      </c>
      <c r="J8" s="16" t="s">
        <v>139</v>
      </c>
      <c r="K8" s="14">
        <v>0</v>
      </c>
      <c r="L8" s="16">
        <v>0</v>
      </c>
      <c r="M8" s="14">
        <v>0</v>
      </c>
      <c r="N8" s="16">
        <v>0</v>
      </c>
      <c r="O8" s="14">
        <v>0</v>
      </c>
      <c r="P8" s="16">
        <v>0</v>
      </c>
      <c r="Q8" s="14">
        <v>0</v>
      </c>
      <c r="R8" s="16">
        <v>0</v>
      </c>
    </row>
    <row r="9" spans="1:18" x14ac:dyDescent="0.25">
      <c r="A9" s="11" t="s">
        <v>141</v>
      </c>
      <c r="B9" s="13">
        <v>4899</v>
      </c>
      <c r="C9" s="14">
        <f>(4157/B9*100)</f>
        <v>84.854051847315787</v>
      </c>
      <c r="D9" s="15">
        <v>742</v>
      </c>
      <c r="E9" s="14">
        <v>26.633486300000001</v>
      </c>
      <c r="F9" s="16">
        <v>1.5357611099999999</v>
      </c>
      <c r="G9" s="14">
        <v>73.366513699999999</v>
      </c>
      <c r="H9" s="16">
        <v>1.5357611099999999</v>
      </c>
      <c r="I9" s="14" t="s">
        <v>139</v>
      </c>
      <c r="J9" s="16" t="s">
        <v>139</v>
      </c>
      <c r="K9" s="14">
        <v>0</v>
      </c>
      <c r="L9" s="16">
        <v>0</v>
      </c>
      <c r="M9" s="14">
        <v>0</v>
      </c>
      <c r="N9" s="16">
        <v>0</v>
      </c>
      <c r="O9" s="14">
        <v>0</v>
      </c>
      <c r="P9" s="16">
        <v>0</v>
      </c>
      <c r="Q9" s="14">
        <v>0</v>
      </c>
      <c r="R9" s="16">
        <v>0</v>
      </c>
    </row>
    <row r="10" spans="1:18" x14ac:dyDescent="0.25">
      <c r="A10" s="11" t="s">
        <v>142</v>
      </c>
      <c r="B10" s="13">
        <v>10036</v>
      </c>
      <c r="C10" s="14">
        <f>(8380/B10*100)</f>
        <v>83.499402152251889</v>
      </c>
      <c r="D10" s="15">
        <v>1656</v>
      </c>
      <c r="E10" s="14">
        <v>24.25428046</v>
      </c>
      <c r="F10" s="16">
        <v>1.26696747</v>
      </c>
      <c r="G10" s="14">
        <v>75.745719539999996</v>
      </c>
      <c r="H10" s="16">
        <v>1.26696747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(2971/B11*100)</f>
        <v>83.619476498733462</v>
      </c>
      <c r="D11" s="15">
        <v>582</v>
      </c>
      <c r="E11" s="14">
        <v>34.961745290000003</v>
      </c>
      <c r="F11" s="16">
        <v>2.5302911400000001</v>
      </c>
      <c r="G11" s="14">
        <v>65.038254710000004</v>
      </c>
      <c r="H11" s="16">
        <v>2.5302911400000001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(2924/B12*100)</f>
        <v>84.21658986175116</v>
      </c>
      <c r="D12" s="15">
        <v>548</v>
      </c>
      <c r="E12" s="14">
        <v>29.59080642</v>
      </c>
      <c r="F12" s="16">
        <v>2.0354067300000001</v>
      </c>
      <c r="G12" s="14">
        <v>70.409193579999993</v>
      </c>
      <c r="H12" s="16">
        <v>2.0354067300000001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(3030/B13*100)</f>
        <v>85.136274234335488</v>
      </c>
      <c r="D13" s="15">
        <v>529</v>
      </c>
      <c r="E13" s="14">
        <v>18.300743140000002</v>
      </c>
      <c r="F13" s="16">
        <v>1.9589595200000001</v>
      </c>
      <c r="G13" s="14">
        <v>81.699256860000006</v>
      </c>
      <c r="H13" s="16">
        <v>1.9589595200000001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(2340/B14*100)</f>
        <v>83.60128617363344</v>
      </c>
      <c r="D14" s="15">
        <v>459</v>
      </c>
      <c r="E14" s="14">
        <v>18.263966079999999</v>
      </c>
      <c r="F14" s="16">
        <v>2.3800044599999999</v>
      </c>
      <c r="G14" s="14">
        <v>81.736033919999997</v>
      </c>
      <c r="H14" s="16">
        <v>2.3800044599999999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(2513/B15*100)</f>
        <v>83.239483272606819</v>
      </c>
      <c r="D15" s="15">
        <v>506</v>
      </c>
      <c r="E15" s="14">
        <v>16.534011719999999</v>
      </c>
      <c r="F15" s="16">
        <v>1.61639237</v>
      </c>
      <c r="G15" s="14">
        <v>83.465988280000005</v>
      </c>
      <c r="H15" s="16">
        <v>1.61639237</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29.51015554</v>
      </c>
      <c r="F16" s="16">
        <v>2.3124055100000001</v>
      </c>
      <c r="G16" s="14">
        <v>70.48984446</v>
      </c>
      <c r="H16" s="16">
        <v>2.3124055100000001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(2797/B17*100)</f>
        <v>84.578167523435127</v>
      </c>
      <c r="D17" s="15">
        <v>510</v>
      </c>
      <c r="E17" s="14">
        <v>20.88109193</v>
      </c>
      <c r="F17" s="16">
        <v>1.98056875</v>
      </c>
      <c r="G17" s="14">
        <v>79.118908070000003</v>
      </c>
      <c r="H17" s="16">
        <v>1.98056875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(2354/B18*100)</f>
        <v>83.297947629157818</v>
      </c>
      <c r="D18" s="15">
        <v>472</v>
      </c>
      <c r="E18" s="14">
        <v>40.744925619999997</v>
      </c>
      <c r="F18" s="16">
        <v>2.45926863</v>
      </c>
      <c r="G18" s="14">
        <v>59.255074380000003</v>
      </c>
      <c r="H18" s="16">
        <v>2.45926863</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(2371/B19*100)</f>
        <v>84.43732193732194</v>
      </c>
      <c r="D19" s="15">
        <v>437</v>
      </c>
      <c r="E19" s="14">
        <v>29.651884129999999</v>
      </c>
      <c r="F19" s="16">
        <v>2.1390997</v>
      </c>
      <c r="G19" s="14">
        <v>70.348115870000001</v>
      </c>
      <c r="H19" s="16">
        <v>2.1390997</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(1374/B20*100)</f>
        <v>84.294478527607367</v>
      </c>
      <c r="D20" s="15">
        <v>256</v>
      </c>
      <c r="E20" s="14">
        <v>27.733576289999998</v>
      </c>
      <c r="F20" s="16">
        <v>2.89049369</v>
      </c>
      <c r="G20" s="14">
        <v>72.266423709999998</v>
      </c>
      <c r="H20" s="16">
        <v>2.89049369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(2466/B22*100)</f>
        <v>84.135107471852606</v>
      </c>
      <c r="D22" s="15">
        <v>465</v>
      </c>
      <c r="E22" s="14">
        <v>42.677909710000002</v>
      </c>
      <c r="F22" s="16">
        <v>2.65157234</v>
      </c>
      <c r="G22" s="14">
        <v>57.322090289999998</v>
      </c>
      <c r="H22" s="16">
        <v>2.65157234</v>
      </c>
      <c r="I22" s="14" t="s">
        <v>139</v>
      </c>
      <c r="J22" s="16" t="s">
        <v>139</v>
      </c>
      <c r="K22" s="14">
        <v>0</v>
      </c>
      <c r="L22" s="16">
        <v>0</v>
      </c>
      <c r="M22" s="14">
        <v>0</v>
      </c>
      <c r="N22" s="16">
        <v>0</v>
      </c>
      <c r="O22" s="14">
        <v>0</v>
      </c>
      <c r="P22" s="16">
        <v>0</v>
      </c>
      <c r="Q22" s="14">
        <v>0</v>
      </c>
      <c r="R22" s="16">
        <v>0</v>
      </c>
    </row>
    <row r="23" spans="1:18" x14ac:dyDescent="0.25">
      <c r="A23" s="11" t="s">
        <v>156</v>
      </c>
      <c r="B23" s="13">
        <v>5791</v>
      </c>
      <c r="C23" s="14">
        <f>(4833/B23*100)</f>
        <v>83.457088585736486</v>
      </c>
      <c r="D23" s="15">
        <v>958</v>
      </c>
      <c r="E23" s="14">
        <v>36.316842149999999</v>
      </c>
      <c r="F23" s="16">
        <v>2.3755745899999998</v>
      </c>
      <c r="G23" s="14">
        <v>63.683157850000001</v>
      </c>
      <c r="H23" s="16">
        <v>2.3755745899999998</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(2770/B24*100)</f>
        <v>82.983822648292389</v>
      </c>
      <c r="D24" s="15">
        <v>568</v>
      </c>
      <c r="E24" s="14">
        <v>16.098390080000001</v>
      </c>
      <c r="F24" s="16">
        <v>1.7420007099999999</v>
      </c>
      <c r="G24" s="14">
        <v>83.901609919999999</v>
      </c>
      <c r="H24" s="16">
        <v>1.7420007099999999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(2403/B25*100)</f>
        <v>82.520604395604394</v>
      </c>
      <c r="D25" s="15">
        <v>509</v>
      </c>
      <c r="E25" s="14">
        <v>25.274672160000001</v>
      </c>
      <c r="F25" s="16">
        <v>2.1834768900000001</v>
      </c>
      <c r="G25" s="14">
        <v>74.725327840000006</v>
      </c>
      <c r="H25" s="16">
        <v>2.1834768900000001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(2046/B26*100)</f>
        <v>83.510204081632651</v>
      </c>
      <c r="D26" s="15">
        <v>404</v>
      </c>
      <c r="E26" s="14">
        <v>26.193015760000002</v>
      </c>
      <c r="F26" s="16">
        <v>2.4458893399999999</v>
      </c>
      <c r="G26" s="14">
        <v>73.806984240000006</v>
      </c>
      <c r="H26" s="16">
        <v>2.4458893399999999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(2207/B27*100)</f>
        <v>84.36544342507645</v>
      </c>
      <c r="D27" s="15">
        <v>409</v>
      </c>
      <c r="E27" s="14">
        <v>28.062966729999999</v>
      </c>
      <c r="F27" s="16">
        <v>2.1896849399999998</v>
      </c>
      <c r="G27" s="14">
        <v>71.937033270000001</v>
      </c>
      <c r="H27" s="16">
        <v>2.1896849399999998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(3253/B28*100)</f>
        <v>86.40106241699867</v>
      </c>
      <c r="D28" s="15">
        <v>512</v>
      </c>
      <c r="E28" s="14">
        <v>46.488440779999998</v>
      </c>
      <c r="F28" s="16">
        <v>2.73764246</v>
      </c>
      <c r="G28" s="14">
        <v>53.511559220000002</v>
      </c>
      <c r="H28" s="16">
        <v>2.73764246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(2225/B29*100)</f>
        <v>82.86778398510242</v>
      </c>
      <c r="D29" s="15">
        <v>460</v>
      </c>
      <c r="E29" s="14">
        <v>28.92601033</v>
      </c>
      <c r="F29" s="16">
        <v>1.9152000600000001</v>
      </c>
      <c r="G29" s="14">
        <v>71.073989670000003</v>
      </c>
      <c r="H29" s="16">
        <v>1.9152000600000001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(1905/B30*100)</f>
        <v>84.180291648254538</v>
      </c>
      <c r="D30" s="15">
        <v>358</v>
      </c>
      <c r="E30" s="14">
        <v>29.388265629999999</v>
      </c>
      <c r="F30" s="16">
        <v>2.3819752799999998</v>
      </c>
      <c r="G30" s="14">
        <v>70.611734369999994</v>
      </c>
      <c r="H30" s="16">
        <v>2.3819752799999998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(2296/B31*100)</f>
        <v>83.490909090909099</v>
      </c>
      <c r="D31" s="15">
        <v>454</v>
      </c>
      <c r="E31" s="14">
        <v>26.170262430000001</v>
      </c>
      <c r="F31" s="16">
        <v>2.2043881700000001</v>
      </c>
      <c r="G31" s="14">
        <v>73.829737570000006</v>
      </c>
      <c r="H31" s="16">
        <v>2.2043881700000001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(3102/B33*100)</f>
        <v>84.431137724550894</v>
      </c>
      <c r="D33" s="15">
        <v>572</v>
      </c>
      <c r="E33" s="14">
        <v>22.913448559999999</v>
      </c>
      <c r="F33" s="16">
        <v>2.2924862400000001</v>
      </c>
      <c r="G33" s="14">
        <v>77.086551439999994</v>
      </c>
      <c r="H33" s="16">
        <v>2.2924862400000001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(2792/B34*100)</f>
        <v>84.223227752639517</v>
      </c>
      <c r="D34" s="15">
        <v>523</v>
      </c>
      <c r="E34" s="14">
        <v>35.30542535</v>
      </c>
      <c r="F34" s="16">
        <v>2.1806417100000002</v>
      </c>
      <c r="G34" s="14">
        <v>64.694574650000007</v>
      </c>
      <c r="H34" s="16">
        <v>2.1806417100000002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(2922/B35*100)</f>
        <v>83.366619115549213</v>
      </c>
      <c r="D35" s="15">
        <v>583</v>
      </c>
      <c r="E35" s="14">
        <v>27.072887470000001</v>
      </c>
      <c r="F35" s="16">
        <v>2.35107936</v>
      </c>
      <c r="G35" s="14">
        <v>72.927112530000002</v>
      </c>
      <c r="H35" s="16">
        <v>2.35107936</v>
      </c>
      <c r="I35" s="14" t="s">
        <v>139</v>
      </c>
      <c r="J35" s="16" t="s">
        <v>139</v>
      </c>
      <c r="K35" s="14">
        <v>0</v>
      </c>
      <c r="L35" s="16">
        <v>0</v>
      </c>
      <c r="M35" s="14">
        <v>0</v>
      </c>
      <c r="N35" s="16">
        <v>0</v>
      </c>
      <c r="O35" s="14">
        <v>0</v>
      </c>
      <c r="P35" s="16">
        <v>0</v>
      </c>
      <c r="Q35" s="14">
        <v>0</v>
      </c>
      <c r="R35" s="16">
        <v>0</v>
      </c>
    </row>
    <row r="36" spans="1:18" x14ac:dyDescent="0.25">
      <c r="A36" s="11" t="s">
        <v>169</v>
      </c>
      <c r="B36" s="13">
        <v>3332</v>
      </c>
      <c r="C36" s="14">
        <f>(2826/B36*100)</f>
        <v>84.813925570228093</v>
      </c>
      <c r="D36" s="15">
        <v>506</v>
      </c>
      <c r="E36" s="14">
        <v>23.748085289999999</v>
      </c>
      <c r="F36" s="16">
        <v>1.9067460700000001</v>
      </c>
      <c r="G36" s="14">
        <v>76.251914709999994</v>
      </c>
      <c r="H36" s="16">
        <v>1.9067460700000001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(2272/B37*100)</f>
        <v>83.314998166483306</v>
      </c>
      <c r="D37" s="15">
        <v>455</v>
      </c>
      <c r="E37" s="14">
        <v>23.452880830000002</v>
      </c>
      <c r="F37" s="16">
        <v>2.46030281</v>
      </c>
      <c r="G37" s="14">
        <v>76.547119170000002</v>
      </c>
      <c r="H37" s="16">
        <v>2.46030281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(2436/B39*100)</f>
        <v>82.380791342576927</v>
      </c>
      <c r="D39" s="15">
        <v>521</v>
      </c>
      <c r="E39" s="14">
        <v>71.818867269999998</v>
      </c>
      <c r="F39" s="16">
        <v>2.3351635700000002</v>
      </c>
      <c r="G39" s="14">
        <v>28.181132730000002</v>
      </c>
      <c r="H39" s="16">
        <v>2.3351635700000002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(6000/B40*100)</f>
        <v>82.930200414650997</v>
      </c>
      <c r="D40" s="15">
        <v>1235</v>
      </c>
      <c r="E40" s="14">
        <v>24.030574909999999</v>
      </c>
      <c r="F40" s="16">
        <v>1.97786445</v>
      </c>
      <c r="G40" s="14">
        <v>75.969425090000001</v>
      </c>
      <c r="H40" s="16">
        <v>1.97786445</v>
      </c>
      <c r="I40" s="14" t="s">
        <v>139</v>
      </c>
      <c r="J40" s="16" t="s">
        <v>139</v>
      </c>
      <c r="K40" s="14">
        <v>0</v>
      </c>
      <c r="L40" s="16">
        <v>0</v>
      </c>
      <c r="M40" s="14">
        <v>0</v>
      </c>
      <c r="N40" s="16">
        <v>0</v>
      </c>
      <c r="O40" s="14">
        <v>0</v>
      </c>
      <c r="P40" s="16">
        <v>0</v>
      </c>
      <c r="Q40" s="14">
        <v>0</v>
      </c>
      <c r="R40" s="16">
        <v>0</v>
      </c>
    </row>
    <row r="41" spans="1:18" x14ac:dyDescent="0.25">
      <c r="A41" s="11" t="s">
        <v>174</v>
      </c>
      <c r="B41" s="13">
        <v>2858</v>
      </c>
      <c r="C41" s="14">
        <f>(2401/B41*100)</f>
        <v>84.009797060881723</v>
      </c>
      <c r="D41" s="15">
        <v>457</v>
      </c>
      <c r="E41" s="14">
        <v>28.59485763</v>
      </c>
      <c r="F41" s="16">
        <v>2.30833595</v>
      </c>
      <c r="G41" s="14">
        <v>71.405142369999993</v>
      </c>
      <c r="H41" s="16">
        <v>2.30833595</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83.874704435780643</v>
      </c>
      <c r="D42" s="15">
        <f>IF(COUNT(D7:D41) &gt; 0, AVERAGE(D7:D41), "—")</f>
        <v>589.5</v>
      </c>
      <c r="E42" s="14">
        <f>IF(COUNT(E7:E41) &gt; 0, AVERAGE(E7:E41), "—")</f>
        <v>29.261237512499996</v>
      </c>
      <c r="F42" s="16">
        <f>IF(COUNT(F7:F41) &gt; 0, SQRT(SUMSQ(F7:F41)/(COUNT(F7:F41)*COUNT(F7:F41)) ), "—")</f>
        <v>0.38919666424674704</v>
      </c>
      <c r="G42" s="14">
        <f>IF(COUNT(G7:G41) &gt; 0, AVERAGE(G7:G41), "—")</f>
        <v>70.738762487499997</v>
      </c>
      <c r="H42" s="16">
        <f>IF(COUNT(H7:H41) &gt; 0, SQRT(SUMSQ(H7:H41)/(COUNT(H7:H41)*COUNT(H7:H41)) ), "—")</f>
        <v>0.38919666424674704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(9902/B46*100)</f>
        <v>89.465124683773041</v>
      </c>
      <c r="D46" s="15">
        <v>1166</v>
      </c>
      <c r="E46" s="14">
        <v>53.055418609999997</v>
      </c>
      <c r="F46" s="16">
        <v>1.9282199099999999</v>
      </c>
      <c r="G46" s="14">
        <v>46.944581390000003</v>
      </c>
      <c r="H46" s="16">
        <v>1.9282199099999999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(2636/B47*100)</f>
        <v>84.89533011272141</v>
      </c>
      <c r="D47" s="15">
        <v>469</v>
      </c>
      <c r="E47" s="14">
        <v>47.734334169999997</v>
      </c>
      <c r="F47" s="16">
        <v>2.39652099</v>
      </c>
      <c r="G47" s="14">
        <v>52.265665830000003</v>
      </c>
      <c r="H47" s="16">
        <v>2.39652099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(4270/B48*100)</f>
        <v>82.767978290366358</v>
      </c>
      <c r="D48" s="15">
        <v>889</v>
      </c>
      <c r="E48" s="14">
        <v>27.76439263</v>
      </c>
      <c r="F48" s="16">
        <v>2.5426246099999998</v>
      </c>
      <c r="G48" s="14">
        <v>72.235607369999997</v>
      </c>
      <c r="H48" s="16">
        <v>2.5426246099999998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(4783/B50*100)</f>
        <v>84.850097569629241</v>
      </c>
      <c r="D50" s="15">
        <v>854</v>
      </c>
      <c r="E50" s="14">
        <v>49.075126019999999</v>
      </c>
      <c r="F50" s="16">
        <v>2.4183530200000001</v>
      </c>
      <c r="G50" s="14">
        <v>50.924873980000001</v>
      </c>
      <c r="H50" s="16">
        <v>2.4183530200000001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(2925/B51*100)</f>
        <v>86.743772241992872</v>
      </c>
      <c r="D51" s="15">
        <v>447</v>
      </c>
      <c r="E51" s="14">
        <v>37.66700522</v>
      </c>
      <c r="F51" s="16">
        <v>2.6346303500000001</v>
      </c>
      <c r="G51" s="14">
        <v>62.33299478</v>
      </c>
      <c r="H51" s="16">
        <v>2.6346303500000001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(2360/B52*100)</f>
        <v>84.406294706723898</v>
      </c>
      <c r="D52" s="15">
        <v>436</v>
      </c>
      <c r="E52" s="14">
        <v>32.055345529999997</v>
      </c>
      <c r="F52" s="16">
        <v>2.5437362700000001</v>
      </c>
      <c r="G52" s="14">
        <v>67.944654470000003</v>
      </c>
      <c r="H52" s="16">
        <v>2.5437362700000001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(2336/B53*100)</f>
        <v>83.10209889718962</v>
      </c>
      <c r="D53" s="15">
        <v>475</v>
      </c>
      <c r="E53" s="14">
        <v>48.77136659</v>
      </c>
      <c r="F53" s="16">
        <v>2.47245603</v>
      </c>
      <c r="G53" s="14">
        <v>51.22863341</v>
      </c>
      <c r="H53" s="16">
        <v>2.47245603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(2212/B56*100)</f>
        <v>82.414307004470942</v>
      </c>
      <c r="D56" s="15">
        <v>472</v>
      </c>
      <c r="E56" s="14">
        <v>22.27474067</v>
      </c>
      <c r="F56" s="16">
        <v>2.0736873999999998</v>
      </c>
      <c r="G56" s="14">
        <v>77.72525933</v>
      </c>
      <c r="H56" s="16">
        <v>2.0736873999999998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(2799/B61*100)</f>
        <v>84.205776173285201</v>
      </c>
      <c r="D61" s="15">
        <v>525</v>
      </c>
      <c r="E61" s="14">
        <v>39.52893031</v>
      </c>
      <c r="F61" s="16">
        <v>2.13411522</v>
      </c>
      <c r="G61" s="14">
        <v>60.47106969</v>
      </c>
      <c r="H61" s="16">
        <v>2.13411522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(1894/B62*100)</f>
        <v>84.327693677649151</v>
      </c>
      <c r="D62" s="15">
        <v>352</v>
      </c>
      <c r="E62" s="14">
        <v>20.453943290000002</v>
      </c>
      <c r="F62" s="16">
        <v>2.1337435299999998</v>
      </c>
      <c r="G62" s="14">
        <v>79.546056710000002</v>
      </c>
      <c r="H62" s="16">
        <v>2.1337435299999998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(2436/B66*100)</f>
        <v>84.174153420870766</v>
      </c>
      <c r="D66" s="15">
        <v>458</v>
      </c>
      <c r="E66" s="14">
        <v>53.403130220000001</v>
      </c>
      <c r="F66" s="16">
        <v>2.5229112599999999</v>
      </c>
      <c r="G66" s="14">
        <v>46.596869779999999</v>
      </c>
      <c r="H66" s="16">
        <v>2.5229112599999999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(3028/B67*100)</f>
        <v>86.243235545428661</v>
      </c>
      <c r="D67" s="15">
        <v>483</v>
      </c>
      <c r="E67" s="14">
        <v>45.140031159999999</v>
      </c>
      <c r="F67" s="16">
        <v>2.6520051699999998</v>
      </c>
      <c r="G67" s="14">
        <v>54.859968840000001</v>
      </c>
      <c r="H67" s="16">
        <v>2.6520051699999998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(2470/B70*100)</f>
        <v>84.329122567429167</v>
      </c>
      <c r="D70" s="15">
        <v>459</v>
      </c>
      <c r="E70" s="14">
        <v>29.13609417</v>
      </c>
      <c r="F70" s="16">
        <v>2.2750195400000002</v>
      </c>
      <c r="G70" s="14">
        <v>70.863905829999993</v>
      </c>
      <c r="H70" s="16">
        <v>2.2750195400000002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(3227/B72*100)</f>
        <v>82.977629210593989</v>
      </c>
      <c r="D72" s="15">
        <v>662</v>
      </c>
      <c r="E72" s="14">
        <v>20.440840340000001</v>
      </c>
      <c r="F72" s="16">
        <v>1.6628611799999999</v>
      </c>
      <c r="G72" s="14">
        <v>79.559159660000006</v>
      </c>
      <c r="H72" s="16">
        <v>1.6628611799999999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(3055/B73*100)</f>
        <v>84.931887684181262</v>
      </c>
      <c r="D73" s="15">
        <v>542</v>
      </c>
      <c r="E73" s="14">
        <v>59.247116239999997</v>
      </c>
      <c r="F73" s="16">
        <v>3.1558172899999999</v>
      </c>
      <c r="G73" s="14">
        <v>40.752883760000003</v>
      </c>
      <c r="H73" s="16">
        <v>3.1558172899999999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(2072/B75*100)</f>
        <v>86.118038237738986</v>
      </c>
      <c r="D75" s="15">
        <v>334</v>
      </c>
      <c r="E75" s="14">
        <v>77.718984610000007</v>
      </c>
      <c r="F75" s="16">
        <v>2.0198584400000001</v>
      </c>
      <c r="G75" s="14">
        <v>22.28101539</v>
      </c>
      <c r="H75" s="16">
        <v>2.0198584400000001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(5847/B76*100)</f>
        <v>82.912648893930793</v>
      </c>
      <c r="D76" s="15">
        <v>1205</v>
      </c>
      <c r="E76" s="14">
        <v>53.13907545</v>
      </c>
      <c r="F76" s="16">
        <v>1.8673424300000001</v>
      </c>
      <c r="G76" s="14">
        <v>46.86092455</v>
      </c>
      <c r="H76" s="16">
        <v>1.8673424300000001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(2451/B77*100)</f>
        <v>84.284731774415405</v>
      </c>
      <c r="D77" s="15">
        <v>457</v>
      </c>
      <c r="E77" s="14">
        <v>44.352974400000001</v>
      </c>
      <c r="F77" s="16">
        <v>2.1913870599999998</v>
      </c>
      <c r="G77" s="14">
        <v>55.647025599999999</v>
      </c>
      <c r="H77" s="16">
        <v>2.1913870599999998</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(3480/B81*100)</f>
        <v>83.593562334854681</v>
      </c>
      <c r="D81" s="15">
        <v>683</v>
      </c>
      <c r="E81" s="14">
        <v>41.234336970000001</v>
      </c>
      <c r="F81" s="16">
        <v>2.4701457599999999</v>
      </c>
      <c r="G81" s="14">
        <v>58.765663029999999</v>
      </c>
      <c r="H81" s="16">
        <v>2.4701457599999999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(6129/B7*100)</f>
        <v>83.195330528030411</v>
      </c>
      <c r="D7" s="15">
        <v>1238</v>
      </c>
      <c r="E7" s="14">
        <v>13.753717610000001</v>
      </c>
      <c r="F7" s="16">
        <v>1.0173638300000001</v>
      </c>
      <c r="G7" s="14">
        <v>86.246282390000005</v>
      </c>
      <c r="H7" s="16">
        <v>1.0173638300000001</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21.877696910000001</v>
      </c>
      <c r="F8" s="16">
        <v>1.71628673</v>
      </c>
      <c r="G8" s="14">
        <v>78.122303090000003</v>
      </c>
      <c r="H8" s="16">
        <v>1.71628673</v>
      </c>
      <c r="I8" s="14" t="s">
        <v>139</v>
      </c>
      <c r="J8" s="16" t="s">
        <v>139</v>
      </c>
      <c r="K8" s="14">
        <v>0</v>
      </c>
      <c r="L8" s="16">
        <v>0</v>
      </c>
      <c r="M8" s="14">
        <v>0</v>
      </c>
      <c r="N8" s="16">
        <v>0</v>
      </c>
      <c r="O8" s="14">
        <v>0</v>
      </c>
      <c r="P8" s="16">
        <v>0</v>
      </c>
      <c r="Q8" s="14">
        <v>0</v>
      </c>
      <c r="R8" s="16">
        <v>0</v>
      </c>
    </row>
    <row r="9" spans="1:18" x14ac:dyDescent="0.25">
      <c r="A9" s="11" t="s">
        <v>141</v>
      </c>
      <c r="B9" s="13">
        <v>4899</v>
      </c>
      <c r="C9" s="14">
        <f>(4074/B9*100)</f>
        <v>83.159828536436009</v>
      </c>
      <c r="D9" s="15">
        <v>825</v>
      </c>
      <c r="E9" s="14">
        <v>15.78329179</v>
      </c>
      <c r="F9" s="16">
        <v>1.37938246</v>
      </c>
      <c r="G9" s="14">
        <v>84.216708209999993</v>
      </c>
      <c r="H9" s="16">
        <v>1.37938246</v>
      </c>
      <c r="I9" s="14" t="s">
        <v>139</v>
      </c>
      <c r="J9" s="16" t="s">
        <v>139</v>
      </c>
      <c r="K9" s="14">
        <v>0</v>
      </c>
      <c r="L9" s="16">
        <v>0</v>
      </c>
      <c r="M9" s="14">
        <v>0</v>
      </c>
      <c r="N9" s="16">
        <v>0</v>
      </c>
      <c r="O9" s="14">
        <v>0</v>
      </c>
      <c r="P9" s="16">
        <v>0</v>
      </c>
      <c r="Q9" s="14">
        <v>0</v>
      </c>
      <c r="R9" s="16">
        <v>0</v>
      </c>
    </row>
    <row r="10" spans="1:18" x14ac:dyDescent="0.25">
      <c r="A10" s="11" t="s">
        <v>142</v>
      </c>
      <c r="B10" s="13">
        <v>10036</v>
      </c>
      <c r="C10" s="14">
        <f>(8347/B10*100)</f>
        <v>83.170585890793149</v>
      </c>
      <c r="D10" s="15">
        <v>1689</v>
      </c>
      <c r="E10" s="14">
        <v>14.66638603</v>
      </c>
      <c r="F10" s="16">
        <v>1.26435404</v>
      </c>
      <c r="G10" s="14">
        <v>85.333613970000002</v>
      </c>
      <c r="H10" s="16">
        <v>1.26435404</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(2941/B11*100)</f>
        <v>82.775119617224874</v>
      </c>
      <c r="D11" s="15">
        <v>612</v>
      </c>
      <c r="E11" s="14">
        <v>21.38134926</v>
      </c>
      <c r="F11" s="16">
        <v>2.05793479</v>
      </c>
      <c r="G11" s="14">
        <v>78.618650740000007</v>
      </c>
      <c r="H11" s="16">
        <v>2.05793479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20.390330779999999</v>
      </c>
      <c r="F12" s="16">
        <v>1.7175059100000001</v>
      </c>
      <c r="G12" s="14">
        <v>79.609669220000001</v>
      </c>
      <c r="H12" s="16">
        <v>1.7175059100000001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15.44921051</v>
      </c>
      <c r="F13" s="16">
        <v>1.85429997</v>
      </c>
      <c r="G13" s="14">
        <v>84.55078949</v>
      </c>
      <c r="H13" s="16">
        <v>1.85429997</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11.878476790000001</v>
      </c>
      <c r="F14" s="16">
        <v>1.51651794</v>
      </c>
      <c r="G14" s="14">
        <v>88.121523210000007</v>
      </c>
      <c r="H14" s="16">
        <v>1.51651794</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14.647232949999999</v>
      </c>
      <c r="F15" s="16">
        <v>1.6018964200000001</v>
      </c>
      <c r="G15" s="14">
        <v>85.352767049999997</v>
      </c>
      <c r="H15" s="16">
        <v>1.6018964200000001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20.766940550000001</v>
      </c>
      <c r="F16" s="16">
        <v>1.7927701700000001</v>
      </c>
      <c r="G16" s="14">
        <v>79.233059449999999</v>
      </c>
      <c r="H16" s="16">
        <v>1.7927701700000001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19.557902559999999</v>
      </c>
      <c r="F17" s="16">
        <v>1.8736707699999999</v>
      </c>
      <c r="G17" s="14">
        <v>80.442097439999998</v>
      </c>
      <c r="H17" s="16">
        <v>1.8736707699999999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28.547509179999999</v>
      </c>
      <c r="F18" s="16">
        <v>2.3914103799999999</v>
      </c>
      <c r="G18" s="14">
        <v>71.452490819999994</v>
      </c>
      <c r="H18" s="16">
        <v>2.3914103799999999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(2324/B19*100)</f>
        <v>82.763532763532766</v>
      </c>
      <c r="D19" s="15">
        <v>484</v>
      </c>
      <c r="E19" s="14">
        <v>20.849025220000001</v>
      </c>
      <c r="F19" s="16">
        <v>2.43351585</v>
      </c>
      <c r="G19" s="14">
        <v>79.150974779999999</v>
      </c>
      <c r="H19" s="16">
        <v>2.43351585</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20.648614999999999</v>
      </c>
      <c r="F20" s="16">
        <v>2.5688502</v>
      </c>
      <c r="G20" s="14">
        <v>79.351384999999993</v>
      </c>
      <c r="H20" s="16">
        <v>2.5688502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(2437/B22*100)</f>
        <v>83.145684066871368</v>
      </c>
      <c r="D22" s="15">
        <v>494</v>
      </c>
      <c r="E22" s="14">
        <v>26.748524270000001</v>
      </c>
      <c r="F22" s="16">
        <v>1.9427474</v>
      </c>
      <c r="G22" s="14">
        <v>73.251475729999996</v>
      </c>
      <c r="H22" s="16">
        <v>1.9427474</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21.785642859999999</v>
      </c>
      <c r="F23" s="16">
        <v>1.95162006</v>
      </c>
      <c r="G23" s="14">
        <v>78.214357140000004</v>
      </c>
      <c r="H23" s="16">
        <v>1.95162006</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15.872450239999999</v>
      </c>
      <c r="F24" s="16">
        <v>1.52598082</v>
      </c>
      <c r="G24" s="14">
        <v>84.127549759999994</v>
      </c>
      <c r="H24" s="16">
        <v>1.52598082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34.325599420000003</v>
      </c>
      <c r="F25" s="16">
        <v>1.60701063</v>
      </c>
      <c r="G25" s="14">
        <v>65.674400579999997</v>
      </c>
      <c r="H25" s="16">
        <v>1.60701063</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30.782590760000001</v>
      </c>
      <c r="F26" s="16">
        <v>2.2423710400000001</v>
      </c>
      <c r="G26" s="14">
        <v>69.217409239999995</v>
      </c>
      <c r="H26" s="16">
        <v>2.2423710400000001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21.348057610000001</v>
      </c>
      <c r="F27" s="16">
        <v>2.1398012099999999</v>
      </c>
      <c r="G27" s="14">
        <v>78.651942390000002</v>
      </c>
      <c r="H27" s="16">
        <v>2.1398012099999999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(3113/B28*100)</f>
        <v>82.682602921646748</v>
      </c>
      <c r="D28" s="15">
        <v>652</v>
      </c>
      <c r="E28" s="14">
        <v>21.930412969999999</v>
      </c>
      <c r="F28" s="16">
        <v>1.68128378</v>
      </c>
      <c r="G28" s="14">
        <v>78.069587029999994</v>
      </c>
      <c r="H28" s="16">
        <v>1.68128378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19.775983020000002</v>
      </c>
      <c r="F29" s="16">
        <v>1.84634543</v>
      </c>
      <c r="G29" s="14">
        <v>80.224016980000002</v>
      </c>
      <c r="H29" s="16">
        <v>1.84634543</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15.29501408</v>
      </c>
      <c r="F30" s="16">
        <v>1.9477730099999999</v>
      </c>
      <c r="G30" s="14">
        <v>84.704985919999999</v>
      </c>
      <c r="H30" s="16">
        <v>1.9477730099999999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20.126548459999999</v>
      </c>
      <c r="F31" s="16">
        <v>2.3123391299999998</v>
      </c>
      <c r="G31" s="14">
        <v>79.873451540000005</v>
      </c>
      <c r="H31" s="16">
        <v>2.3123391299999998</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20.107152790000001</v>
      </c>
      <c r="F33" s="16">
        <v>2.0556193</v>
      </c>
      <c r="G33" s="14">
        <v>79.892847209999999</v>
      </c>
      <c r="H33" s="16">
        <v>2.0556193</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27.543156150000002</v>
      </c>
      <c r="F34" s="16">
        <v>1.9757488299999999</v>
      </c>
      <c r="G34" s="14">
        <v>72.456843849999998</v>
      </c>
      <c r="H34" s="16">
        <v>1.9757488299999999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22.370292119999998</v>
      </c>
      <c r="F35" s="16">
        <v>2.1723377300000002</v>
      </c>
      <c r="G35" s="14">
        <v>77.629707879999998</v>
      </c>
      <c r="H35" s="16">
        <v>2.1723377300000002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19.648753589999998</v>
      </c>
      <c r="F36" s="16">
        <v>1.9104932999999999</v>
      </c>
      <c r="G36" s="14">
        <v>80.351246410000002</v>
      </c>
      <c r="H36" s="16">
        <v>1.9104932999999999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15.33075389</v>
      </c>
      <c r="F37" s="16">
        <v>2.1155254100000001</v>
      </c>
      <c r="G37" s="14">
        <v>84.669246110000003</v>
      </c>
      <c r="H37" s="16">
        <v>2.1155254100000001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34.764077520000001</v>
      </c>
      <c r="F39" s="16">
        <v>2.5498546200000001</v>
      </c>
      <c r="G39" s="14">
        <v>65.235922479999999</v>
      </c>
      <c r="H39" s="16">
        <v>2.5498546200000001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19.962198959999998</v>
      </c>
      <c r="F40" s="16">
        <v>2.0309573799999998</v>
      </c>
      <c r="G40" s="14">
        <v>80.037801040000005</v>
      </c>
      <c r="H40" s="16">
        <v>2.0309573799999998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(2377/B41*100)</f>
        <v>83.170048985304419</v>
      </c>
      <c r="D41" s="15">
        <v>481</v>
      </c>
      <c r="E41" s="14">
        <v>18.56529119</v>
      </c>
      <c r="F41" s="16">
        <v>2.0016443100000001</v>
      </c>
      <c r="G41" s="14">
        <v>81.434708810000004</v>
      </c>
      <c r="H41" s="16">
        <v>2.0016443100000001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83.104766880846725</v>
      </c>
      <c r="D42" s="15">
        <f>IF(COUNT(D7:D41) &gt; 0, AVERAGE(D7:D41), "—")</f>
        <v>617.96875</v>
      </c>
      <c r="E42" s="14">
        <f>IF(COUNT(E7:E41) &gt; 0, AVERAGE(E7:E41), "—")</f>
        <v>20.827505782500001</v>
      </c>
      <c r="F42" s="16">
        <f>IF(COUNT(F7:F41) &gt; 0, SQRT(SUMSQ(F7:F41)/(COUNT(F7:F41)*COUNT(F7:F41)) ), "—")</f>
        <v>0.34377851571478257</v>
      </c>
      <c r="G42" s="14">
        <f>IF(COUNT(G7:G41) &gt; 0, AVERAGE(G7:G41), "—")</f>
        <v>79.172494217499988</v>
      </c>
      <c r="H42" s="16">
        <f>IF(COUNT(H7:H41) &gt; 0, SQRT(SUMSQ(H7:H41)/(COUNT(H7:H41)*COUNT(H7:H41)) ), "—")</f>
        <v>0.34377851571478257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(9309/B46*100)</f>
        <v>84.107336465486085</v>
      </c>
      <c r="D46" s="15">
        <v>1759</v>
      </c>
      <c r="E46" s="14">
        <v>25.162853770000002</v>
      </c>
      <c r="F46" s="16">
        <v>1.2605220500000001</v>
      </c>
      <c r="G46" s="14">
        <v>74.837146230000002</v>
      </c>
      <c r="H46" s="16">
        <v>1.2605220500000001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(2580/B47*100)</f>
        <v>83.091787439613526</v>
      </c>
      <c r="D47" s="15">
        <v>525</v>
      </c>
      <c r="E47" s="14">
        <v>25.573073650000001</v>
      </c>
      <c r="F47" s="16">
        <v>2.0415876900000001</v>
      </c>
      <c r="G47" s="14">
        <v>74.426926350000002</v>
      </c>
      <c r="H47" s="16">
        <v>2.0415876900000001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26.606433280000001</v>
      </c>
      <c r="F48" s="16">
        <v>2.39376546</v>
      </c>
      <c r="G48" s="14">
        <v>73.393566719999995</v>
      </c>
      <c r="H48" s="16">
        <v>2.39376546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(4657/B50*100)</f>
        <v>82.61486606350897</v>
      </c>
      <c r="D50" s="15">
        <v>980</v>
      </c>
      <c r="E50" s="14">
        <v>23.049103160000001</v>
      </c>
      <c r="F50" s="16">
        <v>2.2022679900000002</v>
      </c>
      <c r="G50" s="14">
        <v>76.950896839999999</v>
      </c>
      <c r="H50" s="16">
        <v>2.2022679900000002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(2844/B51*100)</f>
        <v>84.341637010676152</v>
      </c>
      <c r="D51" s="15">
        <v>528</v>
      </c>
      <c r="E51" s="14">
        <v>19.849511069999998</v>
      </c>
      <c r="F51" s="16">
        <v>1.6101820099999999</v>
      </c>
      <c r="G51" s="14">
        <v>80.150488929999995</v>
      </c>
      <c r="H51" s="16">
        <v>1.6101820099999999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17.53224165</v>
      </c>
      <c r="F52" s="16">
        <v>1.6567398099999999</v>
      </c>
      <c r="G52" s="14">
        <v>82.467758349999997</v>
      </c>
      <c r="H52" s="16">
        <v>1.6567398099999999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30.00372934</v>
      </c>
      <c r="F53" s="16">
        <v>2.0375149299999999</v>
      </c>
      <c r="G53" s="14">
        <v>69.996270659999993</v>
      </c>
      <c r="H53" s="16">
        <v>2.0375149299999999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31.146600930000002</v>
      </c>
      <c r="F56" s="16">
        <v>1.8890663700000001</v>
      </c>
      <c r="G56" s="14">
        <v>68.853399069999995</v>
      </c>
      <c r="H56" s="16">
        <v>1.8890663700000001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29.150009650000001</v>
      </c>
      <c r="F61" s="16">
        <v>2.1141381799999999</v>
      </c>
      <c r="G61" s="14">
        <v>70.849990349999999</v>
      </c>
      <c r="H61" s="16">
        <v>2.1141381799999999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22.672033549999998</v>
      </c>
      <c r="F62" s="16">
        <v>2.40334504</v>
      </c>
      <c r="G62" s="14">
        <v>77.327966450000005</v>
      </c>
      <c r="H62" s="16">
        <v>2.40334504</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22.358988839999999</v>
      </c>
      <c r="F66" s="16">
        <v>1.6112523599999999</v>
      </c>
      <c r="G66" s="14">
        <v>77.641011160000005</v>
      </c>
      <c r="H66" s="16">
        <v>1.6112523599999999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(2934/B67*100)</f>
        <v>83.565935630874407</v>
      </c>
      <c r="D67" s="15">
        <v>577</v>
      </c>
      <c r="E67" s="14">
        <v>30.538258089999999</v>
      </c>
      <c r="F67" s="16">
        <v>2.0599787300000001</v>
      </c>
      <c r="G67" s="14">
        <v>69.461741910000001</v>
      </c>
      <c r="H67" s="16">
        <v>2.0599787300000001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(2431/B70*100)</f>
        <v>82.997610105838177</v>
      </c>
      <c r="D70" s="15">
        <v>498</v>
      </c>
      <c r="E70" s="14">
        <v>24.948634200000001</v>
      </c>
      <c r="F70" s="16">
        <v>2.1202377399999999</v>
      </c>
      <c r="G70" s="14">
        <v>75.051365799999999</v>
      </c>
      <c r="H70" s="16">
        <v>2.1202377399999999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28.690780839999999</v>
      </c>
      <c r="F72" s="16">
        <v>1.63669267</v>
      </c>
      <c r="G72" s="14">
        <v>71.309219159999998</v>
      </c>
      <c r="H72" s="16">
        <v>1.63669267</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(2970/B73*100)</f>
        <v>82.568807339449549</v>
      </c>
      <c r="D73" s="15">
        <v>627</v>
      </c>
      <c r="E73" s="14">
        <v>24.666014910000001</v>
      </c>
      <c r="F73" s="16">
        <v>2.2770570700000001</v>
      </c>
      <c r="G73" s="14">
        <v>75.333985089999999</v>
      </c>
      <c r="H73" s="16">
        <v>2.2770570700000001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41.786028360000003</v>
      </c>
      <c r="F75" s="16">
        <v>2.5117616200000001</v>
      </c>
      <c r="G75" s="14">
        <v>58.213971639999997</v>
      </c>
      <c r="H75" s="16">
        <v>2.5117616200000001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30.047004699999999</v>
      </c>
      <c r="F76" s="16">
        <v>1.84246993</v>
      </c>
      <c r="G76" s="14">
        <v>69.952995299999998</v>
      </c>
      <c r="H76" s="16">
        <v>1.84246993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(2433/B77*100)</f>
        <v>83.665749656121051</v>
      </c>
      <c r="D77" s="15">
        <v>475</v>
      </c>
      <c r="E77" s="14">
        <v>23.33870327</v>
      </c>
      <c r="F77" s="16">
        <v>2.0653670399999999</v>
      </c>
      <c r="G77" s="14">
        <v>76.661296730000004</v>
      </c>
      <c r="H77" s="16">
        <v>2.0653670399999999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27.989044929999999</v>
      </c>
      <c r="F81" s="16">
        <v>2.0834954799999998</v>
      </c>
      <c r="G81" s="14">
        <v>72.010955069999994</v>
      </c>
      <c r="H81" s="16">
        <v>2.0834954799999998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299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(6129/B7*100)</f>
        <v>83.195330528030411</v>
      </c>
      <c r="D7" s="15">
        <v>1238</v>
      </c>
      <c r="E7" s="14">
        <v>34.561071720000001</v>
      </c>
      <c r="F7" s="16">
        <v>1.65999707</v>
      </c>
      <c r="G7" s="14">
        <v>65.438928279999999</v>
      </c>
      <c r="H7" s="16">
        <v>1.65999707</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38.579778589999997</v>
      </c>
      <c r="F8" s="16">
        <v>2.1154328599999999</v>
      </c>
      <c r="G8" s="14">
        <v>61.420221410000003</v>
      </c>
      <c r="H8" s="16">
        <v>2.1154328599999999</v>
      </c>
      <c r="I8" s="14" t="s">
        <v>139</v>
      </c>
      <c r="J8" s="16" t="s">
        <v>139</v>
      </c>
      <c r="K8" s="14">
        <v>0</v>
      </c>
      <c r="L8" s="16">
        <v>0</v>
      </c>
      <c r="M8" s="14">
        <v>0</v>
      </c>
      <c r="N8" s="16">
        <v>0</v>
      </c>
      <c r="O8" s="14">
        <v>0</v>
      </c>
      <c r="P8" s="16">
        <v>0</v>
      </c>
      <c r="Q8" s="14">
        <v>0</v>
      </c>
      <c r="R8" s="16">
        <v>0</v>
      </c>
    </row>
    <row r="9" spans="1:18" x14ac:dyDescent="0.25">
      <c r="A9" s="11" t="s">
        <v>141</v>
      </c>
      <c r="B9" s="13">
        <v>4899</v>
      </c>
      <c r="C9" s="14">
        <f>(4074/B9*100)</f>
        <v>83.159828536436009</v>
      </c>
      <c r="D9" s="15">
        <v>825</v>
      </c>
      <c r="E9" s="14">
        <v>52.433580599999999</v>
      </c>
      <c r="F9" s="16">
        <v>2.0476940300000002</v>
      </c>
      <c r="G9" s="14">
        <v>47.566419400000001</v>
      </c>
      <c r="H9" s="16">
        <v>2.0476940300000002</v>
      </c>
      <c r="I9" s="14" t="s">
        <v>139</v>
      </c>
      <c r="J9" s="16" t="s">
        <v>139</v>
      </c>
      <c r="K9" s="14">
        <v>0</v>
      </c>
      <c r="L9" s="16">
        <v>0</v>
      </c>
      <c r="M9" s="14">
        <v>0</v>
      </c>
      <c r="N9" s="16">
        <v>0</v>
      </c>
      <c r="O9" s="14">
        <v>0</v>
      </c>
      <c r="P9" s="16">
        <v>0</v>
      </c>
      <c r="Q9" s="14">
        <v>0</v>
      </c>
      <c r="R9" s="16">
        <v>0</v>
      </c>
    </row>
    <row r="10" spans="1:18" x14ac:dyDescent="0.25">
      <c r="A10" s="11" t="s">
        <v>142</v>
      </c>
      <c r="B10" s="13">
        <v>10036</v>
      </c>
      <c r="C10" s="14">
        <f>(8347/B10*100)</f>
        <v>83.170585890793149</v>
      </c>
      <c r="D10" s="15">
        <v>1689</v>
      </c>
      <c r="E10" s="14">
        <v>33.75346716</v>
      </c>
      <c r="F10" s="16">
        <v>1.55650325</v>
      </c>
      <c r="G10" s="14">
        <v>66.24653284</v>
      </c>
      <c r="H10" s="16">
        <v>1.55650325</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(2941/B11*100)</f>
        <v>82.775119617224874</v>
      </c>
      <c r="D11" s="15">
        <v>612</v>
      </c>
      <c r="E11" s="14">
        <v>48.824734460000002</v>
      </c>
      <c r="F11" s="16">
        <v>2.4840819700000001</v>
      </c>
      <c r="G11" s="14">
        <v>51.175265539999998</v>
      </c>
      <c r="H11" s="16">
        <v>2.4840819700000001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51.42042962</v>
      </c>
      <c r="F12" s="16">
        <v>2.2853078500000001</v>
      </c>
      <c r="G12" s="14">
        <v>48.57957038</v>
      </c>
      <c r="H12" s="16">
        <v>2.2853078500000001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46.844314689999997</v>
      </c>
      <c r="F13" s="16">
        <v>2.4351425099999999</v>
      </c>
      <c r="G13" s="14">
        <v>53.155685310000003</v>
      </c>
      <c r="H13" s="16">
        <v>2.4351425099999999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49.264953509999998</v>
      </c>
      <c r="F14" s="16">
        <v>2.7105268800000002</v>
      </c>
      <c r="G14" s="14">
        <v>50.735046490000002</v>
      </c>
      <c r="H14" s="16">
        <v>2.7105268800000002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57.66528229</v>
      </c>
      <c r="F15" s="16">
        <v>2.4983425600000002</v>
      </c>
      <c r="G15" s="14">
        <v>42.33471771</v>
      </c>
      <c r="H15" s="16">
        <v>2.4983425600000002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59.220416380000003</v>
      </c>
      <c r="F16" s="16">
        <v>2.0716590099999999</v>
      </c>
      <c r="G16" s="14">
        <v>40.779583619999997</v>
      </c>
      <c r="H16" s="16">
        <v>2.0716590099999999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32.691536579999998</v>
      </c>
      <c r="F17" s="16">
        <v>2.4716425700000002</v>
      </c>
      <c r="G17" s="14">
        <v>67.308463419999995</v>
      </c>
      <c r="H17" s="16">
        <v>2.4716425700000002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66.719972530000007</v>
      </c>
      <c r="F18" s="16">
        <v>2.11509714</v>
      </c>
      <c r="G18" s="14">
        <v>33.28002747</v>
      </c>
      <c r="H18" s="16">
        <v>2.11509714</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(2324/B19*100)</f>
        <v>82.763532763532766</v>
      </c>
      <c r="D19" s="15">
        <v>484</v>
      </c>
      <c r="E19" s="14">
        <v>50.337084109999999</v>
      </c>
      <c r="F19" s="16">
        <v>2.67085076</v>
      </c>
      <c r="G19" s="14">
        <v>49.662915890000001</v>
      </c>
      <c r="H19" s="16">
        <v>2.67085076</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45.440097739999999</v>
      </c>
      <c r="F20" s="16">
        <v>2.9354512499999998</v>
      </c>
      <c r="G20" s="14">
        <v>54.559902260000001</v>
      </c>
      <c r="H20" s="16">
        <v>2.9354512499999998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(2437/B22*100)</f>
        <v>83.145684066871368</v>
      </c>
      <c r="D22" s="15">
        <v>494</v>
      </c>
      <c r="E22" s="14">
        <v>62.3892448</v>
      </c>
      <c r="F22" s="16">
        <v>2.4465370700000002</v>
      </c>
      <c r="G22" s="14">
        <v>37.6107552</v>
      </c>
      <c r="H22" s="16">
        <v>2.4465370700000002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56.907323910000002</v>
      </c>
      <c r="F23" s="16">
        <v>2.0199482899999999</v>
      </c>
      <c r="G23" s="14">
        <v>43.092676089999998</v>
      </c>
      <c r="H23" s="16">
        <v>2.0199482899999999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29.955903020000001</v>
      </c>
      <c r="F24" s="16">
        <v>2.4947984700000001</v>
      </c>
      <c r="G24" s="14">
        <v>70.044096980000006</v>
      </c>
      <c r="H24" s="16">
        <v>2.4947984700000001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29.184588040000001</v>
      </c>
      <c r="F25" s="16">
        <v>2.6064288699999998</v>
      </c>
      <c r="G25" s="14">
        <v>70.815411960000006</v>
      </c>
      <c r="H25" s="16">
        <v>2.6064288699999998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60.445420089999999</v>
      </c>
      <c r="F26" s="16">
        <v>2.2488027700000002</v>
      </c>
      <c r="G26" s="14">
        <v>39.554579910000001</v>
      </c>
      <c r="H26" s="16">
        <v>2.2488027700000002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46.390570480000001</v>
      </c>
      <c r="F27" s="16">
        <v>2.2510957</v>
      </c>
      <c r="G27" s="14">
        <v>53.609429519999999</v>
      </c>
      <c r="H27" s="16">
        <v>2.2510957</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(3113/B28*100)</f>
        <v>82.682602921646748</v>
      </c>
      <c r="D28" s="15">
        <v>652</v>
      </c>
      <c r="E28" s="14">
        <v>63.913897239999997</v>
      </c>
      <c r="F28" s="16">
        <v>1.94269721</v>
      </c>
      <c r="G28" s="14">
        <v>36.086102760000003</v>
      </c>
      <c r="H28" s="16">
        <v>1.94269721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44.830838890000003</v>
      </c>
      <c r="F29" s="16">
        <v>2.7525948200000001</v>
      </c>
      <c r="G29" s="14">
        <v>55.169161109999997</v>
      </c>
      <c r="H29" s="16">
        <v>2.7525948200000001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34.122293560000003</v>
      </c>
      <c r="F30" s="16">
        <v>2.22105642</v>
      </c>
      <c r="G30" s="14">
        <v>65.877706439999997</v>
      </c>
      <c r="H30" s="16">
        <v>2.22105642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50.214992780000003</v>
      </c>
      <c r="F31" s="16">
        <v>2.5240392599999999</v>
      </c>
      <c r="G31" s="14">
        <v>49.785007219999997</v>
      </c>
      <c r="H31" s="16">
        <v>2.5240392599999999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46.229291689999997</v>
      </c>
      <c r="F33" s="16">
        <v>2.0821435699999999</v>
      </c>
      <c r="G33" s="14">
        <v>53.770708310000003</v>
      </c>
      <c r="H33" s="16">
        <v>2.0821435699999999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67.107060840000003</v>
      </c>
      <c r="F34" s="16">
        <v>1.94044379</v>
      </c>
      <c r="G34" s="14">
        <v>32.892939159999997</v>
      </c>
      <c r="H34" s="16">
        <v>1.94044379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57.494357260000001</v>
      </c>
      <c r="F35" s="16">
        <v>2.5254627300000001</v>
      </c>
      <c r="G35" s="14">
        <v>42.505642739999999</v>
      </c>
      <c r="H35" s="16">
        <v>2.5254627300000001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44.533229059999996</v>
      </c>
      <c r="F36" s="16">
        <v>2.1291803200000001</v>
      </c>
      <c r="G36" s="14">
        <v>55.466770940000004</v>
      </c>
      <c r="H36" s="16">
        <v>2.1291803200000001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49.362350880000001</v>
      </c>
      <c r="F37" s="16">
        <v>2.9178845400000002</v>
      </c>
      <c r="G37" s="14">
        <v>50.637649119999999</v>
      </c>
      <c r="H37" s="16">
        <v>2.9178845400000002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58.77997285</v>
      </c>
      <c r="F39" s="16">
        <v>2.5839294000000002</v>
      </c>
      <c r="G39" s="14">
        <v>41.22002715</v>
      </c>
      <c r="H39" s="16">
        <v>2.5839294000000002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34.191410150000003</v>
      </c>
      <c r="F40" s="16">
        <v>2.12226589</v>
      </c>
      <c r="G40" s="14">
        <v>65.808589850000004</v>
      </c>
      <c r="H40" s="16">
        <v>2.12226589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(2377/B41*100)</f>
        <v>83.170048985304419</v>
      </c>
      <c r="D41" s="15">
        <v>481</v>
      </c>
      <c r="E41" s="14">
        <v>32.249241920000003</v>
      </c>
      <c r="F41" s="16">
        <v>2.31878172</v>
      </c>
      <c r="G41" s="14">
        <v>67.750758079999997</v>
      </c>
      <c r="H41" s="16">
        <v>2.31878172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83.104766880846725</v>
      </c>
      <c r="D42" s="15">
        <f>IF(COUNT(D7:D41) &gt; 0, AVERAGE(D7:D41), "—")</f>
        <v>617.96875</v>
      </c>
      <c r="E42" s="14">
        <f>IF(COUNT(E7:E41) &gt; 0, AVERAGE(E7:E41), "—")</f>
        <v>48.001834607499994</v>
      </c>
      <c r="F42" s="16">
        <f>IF(COUNT(F7:F41) &gt; 0, SQRT(SUMSQ(F7:F41)/(COUNT(F7:F41)*COUNT(F7:F41)) ), "—")</f>
        <v>0.41378709276813647</v>
      </c>
      <c r="G42" s="14">
        <f>IF(COUNT(G7:G41) &gt; 0, AVERAGE(G7:G41), "—")</f>
        <v>51.998165392500006</v>
      </c>
      <c r="H42" s="16">
        <f>IF(COUNT(H7:H41) &gt; 0, SQRT(SUMSQ(H7:H41)/(COUNT(H7:H41)*COUNT(H7:H41)) ), "—")</f>
        <v>0.41378709276813647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(9309/B46*100)</f>
        <v>84.107336465486085</v>
      </c>
      <c r="D46" s="15">
        <v>1759</v>
      </c>
      <c r="E46" s="14">
        <v>69.407324810000006</v>
      </c>
      <c r="F46" s="16">
        <v>1.3515007400000001</v>
      </c>
      <c r="G46" s="14">
        <v>30.592675190000001</v>
      </c>
      <c r="H46" s="16">
        <v>1.3515007400000001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(2580/B47*100)</f>
        <v>83.091787439613526</v>
      </c>
      <c r="D47" s="15">
        <v>525</v>
      </c>
      <c r="E47" s="14">
        <v>58.444961120000002</v>
      </c>
      <c r="F47" s="16">
        <v>2.3557562700000001</v>
      </c>
      <c r="G47" s="14">
        <v>41.555038879999998</v>
      </c>
      <c r="H47" s="16">
        <v>2.3557562700000001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35.20114177</v>
      </c>
      <c r="F48" s="16">
        <v>2.1222847100000002</v>
      </c>
      <c r="G48" s="14">
        <v>64.798858229999993</v>
      </c>
      <c r="H48" s="16">
        <v>2.1222847100000002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(4657/B50*100)</f>
        <v>82.61486606350897</v>
      </c>
      <c r="D50" s="15">
        <v>980</v>
      </c>
      <c r="E50" s="14">
        <v>45.315239920000003</v>
      </c>
      <c r="F50" s="16">
        <v>2.0266298800000002</v>
      </c>
      <c r="G50" s="14">
        <v>54.684760079999997</v>
      </c>
      <c r="H50" s="16">
        <v>2.0266298800000002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(2844/B51*100)</f>
        <v>84.341637010676152</v>
      </c>
      <c r="D51" s="15">
        <v>528</v>
      </c>
      <c r="E51" s="14">
        <v>44.386526240000002</v>
      </c>
      <c r="F51" s="16">
        <v>2.2873248199999998</v>
      </c>
      <c r="G51" s="14">
        <v>55.613473759999998</v>
      </c>
      <c r="H51" s="16">
        <v>2.2873248199999998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62.213315199999997</v>
      </c>
      <c r="F52" s="16">
        <v>2.25401455</v>
      </c>
      <c r="G52" s="14">
        <v>37.786684800000003</v>
      </c>
      <c r="H52" s="16">
        <v>2.25401455</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61.290497899999998</v>
      </c>
      <c r="F53" s="16">
        <v>2.2288195100000001</v>
      </c>
      <c r="G53" s="14">
        <v>38.709502100000002</v>
      </c>
      <c r="H53" s="16">
        <v>2.2288195100000001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30.827472029999999</v>
      </c>
      <c r="F56" s="16">
        <v>2.1628827899999998</v>
      </c>
      <c r="G56" s="14">
        <v>69.172527970000004</v>
      </c>
      <c r="H56" s="16">
        <v>2.1628827899999998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54.740268839999999</v>
      </c>
      <c r="F61" s="16">
        <v>2.5075179900000002</v>
      </c>
      <c r="G61" s="14">
        <v>45.259731160000001</v>
      </c>
      <c r="H61" s="16">
        <v>2.5075179900000002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30.388194049999999</v>
      </c>
      <c r="F62" s="16">
        <v>2.3012601500000001</v>
      </c>
      <c r="G62" s="14">
        <v>69.611805950000004</v>
      </c>
      <c r="H62" s="16">
        <v>2.3012601500000001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76.105336730000005</v>
      </c>
      <c r="F66" s="16">
        <v>1.9578996</v>
      </c>
      <c r="G66" s="14">
        <v>23.894663269999999</v>
      </c>
      <c r="H66" s="16">
        <v>1.9578996</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(2934/B67*100)</f>
        <v>83.565935630874407</v>
      </c>
      <c r="D67" s="15">
        <v>577</v>
      </c>
      <c r="E67" s="14">
        <v>55.823879290000001</v>
      </c>
      <c r="F67" s="16">
        <v>2.0899429999999999</v>
      </c>
      <c r="G67" s="14">
        <v>44.176120709999999</v>
      </c>
      <c r="H67" s="16">
        <v>2.0899429999999999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(2431/B70*100)</f>
        <v>82.997610105838177</v>
      </c>
      <c r="D70" s="15">
        <v>498</v>
      </c>
      <c r="E70" s="14">
        <v>49.408359140000002</v>
      </c>
      <c r="F70" s="16">
        <v>2.0033101000000002</v>
      </c>
      <c r="G70" s="14">
        <v>50.591640859999998</v>
      </c>
      <c r="H70" s="16">
        <v>2.0033101000000002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31.644977900000001</v>
      </c>
      <c r="F72" s="16">
        <v>1.5162668699999999</v>
      </c>
      <c r="G72" s="14">
        <v>68.355022099999999</v>
      </c>
      <c r="H72" s="16">
        <v>1.5162668699999999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(2970/B73*100)</f>
        <v>82.568807339449549</v>
      </c>
      <c r="D73" s="15">
        <v>627</v>
      </c>
      <c r="E73" s="14">
        <v>37.758718109999997</v>
      </c>
      <c r="F73" s="16">
        <v>2.4068880199999998</v>
      </c>
      <c r="G73" s="14">
        <v>62.241281890000003</v>
      </c>
      <c r="H73" s="16">
        <v>2.4068880199999998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74.382607829999998</v>
      </c>
      <c r="F75" s="16">
        <v>2.3001396399999998</v>
      </c>
      <c r="G75" s="14">
        <v>25.617392169999999</v>
      </c>
      <c r="H75" s="16">
        <v>2.3001396399999998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65.398714319999996</v>
      </c>
      <c r="F76" s="16">
        <v>1.6268556000000001</v>
      </c>
      <c r="G76" s="14">
        <v>34.601285679999997</v>
      </c>
      <c r="H76" s="16">
        <v>1.6268556000000001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(2433/B77*100)</f>
        <v>83.665749656121051</v>
      </c>
      <c r="D77" s="15">
        <v>475</v>
      </c>
      <c r="E77" s="14">
        <v>57.516408079999998</v>
      </c>
      <c r="F77" s="16">
        <v>2.1173497600000002</v>
      </c>
      <c r="G77" s="14">
        <v>42.483591920000002</v>
      </c>
      <c r="H77" s="16">
        <v>2.1173497600000002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44.466220190000001</v>
      </c>
      <c r="F81" s="16">
        <v>2.1579970300000002</v>
      </c>
      <c r="G81" s="14">
        <v>55.533779809999999</v>
      </c>
      <c r="H81" s="16">
        <v>2.1579970300000002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(6129/B7*100)</f>
        <v>83.195330528030411</v>
      </c>
      <c r="D7" s="15">
        <v>1238</v>
      </c>
      <c r="E7" s="14">
        <v>35.0412228</v>
      </c>
      <c r="F7" s="16">
        <v>1.5316665</v>
      </c>
      <c r="G7" s="14">
        <v>64.9587772</v>
      </c>
      <c r="H7" s="16">
        <v>1.5316665</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43.725690280000002</v>
      </c>
      <c r="F8" s="16">
        <v>2.2648327899999998</v>
      </c>
      <c r="G8" s="14">
        <v>56.274309719999998</v>
      </c>
      <c r="H8" s="16">
        <v>2.2648327899999998</v>
      </c>
      <c r="I8" s="14" t="s">
        <v>139</v>
      </c>
      <c r="J8" s="16" t="s">
        <v>139</v>
      </c>
      <c r="K8" s="14">
        <v>0</v>
      </c>
      <c r="L8" s="16">
        <v>0</v>
      </c>
      <c r="M8" s="14">
        <v>0</v>
      </c>
      <c r="N8" s="16">
        <v>0</v>
      </c>
      <c r="O8" s="14">
        <v>0</v>
      </c>
      <c r="P8" s="16">
        <v>0</v>
      </c>
      <c r="Q8" s="14">
        <v>0</v>
      </c>
      <c r="R8" s="16">
        <v>0</v>
      </c>
    </row>
    <row r="9" spans="1:18" x14ac:dyDescent="0.25">
      <c r="A9" s="11" t="s">
        <v>141</v>
      </c>
      <c r="B9" s="13">
        <v>4899</v>
      </c>
      <c r="C9" s="14">
        <f>(4074/B9*100)</f>
        <v>83.159828536436009</v>
      </c>
      <c r="D9" s="15">
        <v>825</v>
      </c>
      <c r="E9" s="14">
        <v>39.786361679999999</v>
      </c>
      <c r="F9" s="16">
        <v>1.6656546000000001</v>
      </c>
      <c r="G9" s="14">
        <v>60.213638320000001</v>
      </c>
      <c r="H9" s="16">
        <v>1.6656546000000001</v>
      </c>
      <c r="I9" s="14" t="s">
        <v>139</v>
      </c>
      <c r="J9" s="16" t="s">
        <v>139</v>
      </c>
      <c r="K9" s="14">
        <v>0</v>
      </c>
      <c r="L9" s="16">
        <v>0</v>
      </c>
      <c r="M9" s="14">
        <v>0</v>
      </c>
      <c r="N9" s="16">
        <v>0</v>
      </c>
      <c r="O9" s="14">
        <v>0</v>
      </c>
      <c r="P9" s="16">
        <v>0</v>
      </c>
      <c r="Q9" s="14">
        <v>0</v>
      </c>
      <c r="R9" s="16">
        <v>0</v>
      </c>
    </row>
    <row r="10" spans="1:18" x14ac:dyDescent="0.25">
      <c r="A10" s="11" t="s">
        <v>142</v>
      </c>
      <c r="B10" s="13">
        <v>10036</v>
      </c>
      <c r="C10" s="14">
        <f>(8347/B10*100)</f>
        <v>83.170585890793149</v>
      </c>
      <c r="D10" s="15">
        <v>1689</v>
      </c>
      <c r="E10" s="14">
        <v>39.155690870000001</v>
      </c>
      <c r="F10" s="16">
        <v>1.73638848</v>
      </c>
      <c r="G10" s="14">
        <v>60.844309129999999</v>
      </c>
      <c r="H10" s="16">
        <v>1.73638848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(2941/B11*100)</f>
        <v>82.775119617224874</v>
      </c>
      <c r="D11" s="15">
        <v>612</v>
      </c>
      <c r="E11" s="14">
        <v>44.09330516</v>
      </c>
      <c r="F11" s="16">
        <v>2.8835348999999999</v>
      </c>
      <c r="G11" s="14">
        <v>55.90669484</v>
      </c>
      <c r="H11" s="16">
        <v>2.8835348999999999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43.515776330000001</v>
      </c>
      <c r="F12" s="16">
        <v>1.9265405600000001</v>
      </c>
      <c r="G12" s="14">
        <v>56.484223669999999</v>
      </c>
      <c r="H12" s="16">
        <v>1.9265405600000001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30.600982170000002</v>
      </c>
      <c r="F13" s="16">
        <v>2.2432745399999998</v>
      </c>
      <c r="G13" s="14">
        <v>69.399017830000005</v>
      </c>
      <c r="H13" s="16">
        <v>2.2432745399999998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38.163484089999997</v>
      </c>
      <c r="F14" s="16">
        <v>2.5672341799999998</v>
      </c>
      <c r="G14" s="14">
        <v>61.836515910000003</v>
      </c>
      <c r="H14" s="16">
        <v>2.5672341799999998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44.83474794</v>
      </c>
      <c r="F15" s="16">
        <v>2.2939902000000001</v>
      </c>
      <c r="G15" s="14">
        <v>55.16525206</v>
      </c>
      <c r="H15" s="16">
        <v>2.2939902000000001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51.58195078</v>
      </c>
      <c r="F16" s="16">
        <v>2.0159205400000002</v>
      </c>
      <c r="G16" s="14">
        <v>48.41804922</v>
      </c>
      <c r="H16" s="16">
        <v>2.0159205400000002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46.012183960000002</v>
      </c>
      <c r="F17" s="16">
        <v>2.3862181900000001</v>
      </c>
      <c r="G17" s="14">
        <v>53.987816039999998</v>
      </c>
      <c r="H17" s="16">
        <v>2.3862181900000001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49.295070709999997</v>
      </c>
      <c r="F18" s="16">
        <v>2.5540915900000001</v>
      </c>
      <c r="G18" s="14">
        <v>50.704929290000003</v>
      </c>
      <c r="H18" s="16">
        <v>2.5540915900000001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(2324/B19*100)</f>
        <v>82.763532763532766</v>
      </c>
      <c r="D19" s="15">
        <v>484</v>
      </c>
      <c r="E19" s="14">
        <v>48.86465312</v>
      </c>
      <c r="F19" s="16">
        <v>2.4814531299999998</v>
      </c>
      <c r="G19" s="14">
        <v>51.13534688</v>
      </c>
      <c r="H19" s="16">
        <v>2.4814531299999998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49.83230314</v>
      </c>
      <c r="F20" s="16">
        <v>3.17291597</v>
      </c>
      <c r="G20" s="14">
        <v>50.16769686</v>
      </c>
      <c r="H20" s="16">
        <v>3.17291597</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(2437/B22*100)</f>
        <v>83.145684066871368</v>
      </c>
      <c r="D22" s="15">
        <v>494</v>
      </c>
      <c r="E22" s="14">
        <v>49.331566189999997</v>
      </c>
      <c r="F22" s="16">
        <v>2.1831543600000001</v>
      </c>
      <c r="G22" s="14">
        <v>50.668433810000003</v>
      </c>
      <c r="H22" s="16">
        <v>2.1831543600000001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52.297413740000003</v>
      </c>
      <c r="F23" s="16">
        <v>2.2850383299999999</v>
      </c>
      <c r="G23" s="14">
        <v>47.702586259999997</v>
      </c>
      <c r="H23" s="16">
        <v>2.2850383299999999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2912</v>
      </c>
      <c r="C25" s="14">
        <f>(2409/B25*100)</f>
        <v>82.72664835164835</v>
      </c>
      <c r="D25" s="15">
        <v>503</v>
      </c>
      <c r="E25" s="14">
        <v>43.054673739999998</v>
      </c>
      <c r="F25" s="16">
        <v>2.1347081399999999</v>
      </c>
      <c r="G25" s="14">
        <v>56.945326260000002</v>
      </c>
      <c r="H25" s="16">
        <v>2.1347081399999999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51.371344970000003</v>
      </c>
      <c r="F26" s="16">
        <v>2.97691733</v>
      </c>
      <c r="G26" s="14">
        <v>48.628655029999997</v>
      </c>
      <c r="H26" s="16">
        <v>2.97691733</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51.522191220000003</v>
      </c>
      <c r="F27" s="16">
        <v>2.7809012800000001</v>
      </c>
      <c r="G27" s="14">
        <v>48.477808779999997</v>
      </c>
      <c r="H27" s="16">
        <v>2.7809012800000001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(3113/B28*100)</f>
        <v>82.682602921646748</v>
      </c>
      <c r="D28" s="15">
        <v>652</v>
      </c>
      <c r="E28" s="14">
        <v>49.924907959999999</v>
      </c>
      <c r="F28" s="16">
        <v>2.20804994</v>
      </c>
      <c r="G28" s="14">
        <v>50.075092040000001</v>
      </c>
      <c r="H28" s="16">
        <v>2.20804994</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29.491723090000001</v>
      </c>
      <c r="F29" s="16">
        <v>2.0885932999999999</v>
      </c>
      <c r="G29" s="14">
        <v>70.508276910000006</v>
      </c>
      <c r="H29" s="16">
        <v>2.0885932999999999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33.801376609999998</v>
      </c>
      <c r="F30" s="16">
        <v>2.5236797900000001</v>
      </c>
      <c r="G30" s="14">
        <v>66.198623389999995</v>
      </c>
      <c r="H30" s="16">
        <v>2.5236797900000001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43.452307259999998</v>
      </c>
      <c r="F31" s="16">
        <v>2.1474944900000001</v>
      </c>
      <c r="G31" s="14">
        <v>56.547692740000002</v>
      </c>
      <c r="H31" s="16">
        <v>2.1474944900000001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41.191261900000001</v>
      </c>
      <c r="F33" s="16">
        <v>2.5425071799999999</v>
      </c>
      <c r="G33" s="14">
        <v>58.808738099999999</v>
      </c>
      <c r="H33" s="16">
        <v>2.5425071799999999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63.221837299999997</v>
      </c>
      <c r="F34" s="16">
        <v>2.2617548699999999</v>
      </c>
      <c r="G34" s="14">
        <v>36.778162700000003</v>
      </c>
      <c r="H34" s="16">
        <v>2.2617548699999999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70.986062309999994</v>
      </c>
      <c r="F35" s="16">
        <v>2.4737203700000001</v>
      </c>
      <c r="G35" s="14">
        <v>29.013937689999999</v>
      </c>
      <c r="H35" s="16">
        <v>2.4737203700000001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40.129653019999999</v>
      </c>
      <c r="F36" s="16">
        <v>2.1669376300000001</v>
      </c>
      <c r="G36" s="14">
        <v>59.870346980000001</v>
      </c>
      <c r="H36" s="16">
        <v>2.1669376300000001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39.888750430000002</v>
      </c>
      <c r="F37" s="16">
        <v>2.47836729</v>
      </c>
      <c r="G37" s="14">
        <v>60.111249569999998</v>
      </c>
      <c r="H37" s="16">
        <v>2.47836729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64.680421809999999</v>
      </c>
      <c r="F39" s="16">
        <v>2.2572992300000001</v>
      </c>
      <c r="G39" s="14">
        <v>35.319578190000001</v>
      </c>
      <c r="H39" s="16">
        <v>2.2572992300000001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36.223152140000003</v>
      </c>
      <c r="F40" s="16">
        <v>2.4175027500000001</v>
      </c>
      <c r="G40" s="14">
        <v>63.776847859999997</v>
      </c>
      <c r="H40" s="16">
        <v>2.4175027500000001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(2377/B41*100)</f>
        <v>83.170048985304419</v>
      </c>
      <c r="D41" s="15">
        <v>481</v>
      </c>
      <c r="E41" s="14">
        <v>36.062684169999997</v>
      </c>
      <c r="F41" s="16">
        <v>2.0722563100000002</v>
      </c>
      <c r="G41" s="14">
        <v>63.937315830000003</v>
      </c>
      <c r="H41" s="16">
        <v>2.0722563100000002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83.104766880846725</v>
      </c>
      <c r="D42" s="15">
        <f>IF(COUNT(D7:D41) &gt; 0, AVERAGE(D7:D41), "—")</f>
        <v>617.96875</v>
      </c>
      <c r="E42" s="14">
        <f>IF(COUNT(E7:E41) &gt; 0, AVERAGE(E7:E41), "—")</f>
        <v>43.78546096531251</v>
      </c>
      <c r="F42" s="16">
        <f>IF(COUNT(F7:F41) &gt; 0, SQRT(SUMSQ(F7:F41)/(COUNT(F7:F41)*COUNT(F7:F41)) ), "—")</f>
        <v>0.40722530248375394</v>
      </c>
      <c r="G42" s="14">
        <f>IF(COUNT(G7:G41) &gt; 0, AVERAGE(G7:G41), "—")</f>
        <v>53.08953903468749</v>
      </c>
      <c r="H42" s="16">
        <f>IF(COUNT(H7:H41) &gt; 0, SQRT(SUMSQ(H7:H41)/(COUNT(H7:H41)*COUNT(H7:H41)) ), "—")</f>
        <v>0.40722530248375394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(9309/B46*100)</f>
        <v>84.107336465486085</v>
      </c>
      <c r="D46" s="15">
        <v>1759</v>
      </c>
      <c r="E46" s="14">
        <v>51.030754209999998</v>
      </c>
      <c r="F46" s="16">
        <v>1.55302601</v>
      </c>
      <c r="G46" s="14">
        <v>48.969245790000002</v>
      </c>
      <c r="H46" s="16">
        <v>1.55302601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(2580/B47*100)</f>
        <v>83.091787439613526</v>
      </c>
      <c r="D47" s="15">
        <v>525</v>
      </c>
      <c r="E47" s="14">
        <v>48.518552049999997</v>
      </c>
      <c r="F47" s="16">
        <v>2.3220655200000002</v>
      </c>
      <c r="G47" s="14">
        <v>51.481447950000003</v>
      </c>
      <c r="H47" s="16">
        <v>2.3220655200000002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41.133817710000002</v>
      </c>
      <c r="F48" s="16">
        <v>2.1840976599999999</v>
      </c>
      <c r="G48" s="14">
        <v>58.866182289999998</v>
      </c>
      <c r="H48" s="16">
        <v>2.1840976599999999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(4657/B50*100)</f>
        <v>82.61486606350897</v>
      </c>
      <c r="D50" s="15">
        <v>980</v>
      </c>
      <c r="E50" s="14">
        <v>39.38669324</v>
      </c>
      <c r="F50" s="16">
        <v>2.0148910199999999</v>
      </c>
      <c r="G50" s="14">
        <v>60.61330676</v>
      </c>
      <c r="H50" s="16">
        <v>2.0148910199999999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(2844/B51*100)</f>
        <v>84.341637010676152</v>
      </c>
      <c r="D51" s="15">
        <v>528</v>
      </c>
      <c r="E51" s="14">
        <v>38.959620600000001</v>
      </c>
      <c r="F51" s="16">
        <v>2.4014190700000002</v>
      </c>
      <c r="G51" s="14">
        <v>61.040379399999999</v>
      </c>
      <c r="H51" s="16">
        <v>2.4014190700000002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44.590599359999999</v>
      </c>
      <c r="F52" s="16">
        <v>2.1643999599999999</v>
      </c>
      <c r="G52" s="14">
        <v>55.409400640000001</v>
      </c>
      <c r="H52" s="16">
        <v>2.1643999599999999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52.671697639999998</v>
      </c>
      <c r="F53" s="16">
        <v>2.3035964</v>
      </c>
      <c r="G53" s="14">
        <v>47.328302360000002</v>
      </c>
      <c r="H53" s="16">
        <v>2.3035964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30.201415709999999</v>
      </c>
      <c r="F56" s="16">
        <v>2.1224807000000001</v>
      </c>
      <c r="G56" s="14">
        <v>69.798584289999994</v>
      </c>
      <c r="H56" s="16">
        <v>2.1224807000000001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50.389614860000002</v>
      </c>
      <c r="F61" s="16">
        <v>2.3730572200000002</v>
      </c>
      <c r="G61" s="14">
        <v>49.610385139999998</v>
      </c>
      <c r="H61" s="16">
        <v>2.3730572200000002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33.594890190000001</v>
      </c>
      <c r="F62" s="16">
        <v>2.4113175199999999</v>
      </c>
      <c r="G62" s="14">
        <v>66.405109809999999</v>
      </c>
      <c r="H62" s="16">
        <v>2.4113175199999999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46.587684340000003</v>
      </c>
      <c r="F66" s="16">
        <v>2.3448984300000002</v>
      </c>
      <c r="G66" s="14">
        <v>53.412315659999997</v>
      </c>
      <c r="H66" s="16">
        <v>2.3448984300000002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(2934/B67*100)</f>
        <v>83.565935630874407</v>
      </c>
      <c r="D67" s="15">
        <v>577</v>
      </c>
      <c r="E67" s="14">
        <v>41.59325802</v>
      </c>
      <c r="F67" s="16">
        <v>2.10132509</v>
      </c>
      <c r="G67" s="14">
        <v>58.40674198</v>
      </c>
      <c r="H67" s="16">
        <v>2.10132509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(2431/B70*100)</f>
        <v>82.997610105838177</v>
      </c>
      <c r="D70" s="15">
        <v>498</v>
      </c>
      <c r="E70" s="14">
        <v>49.192997269999999</v>
      </c>
      <c r="F70" s="16">
        <v>2.75210819</v>
      </c>
      <c r="G70" s="14">
        <v>50.807002730000001</v>
      </c>
      <c r="H70" s="16">
        <v>2.75210819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24.767807650000002</v>
      </c>
      <c r="F72" s="16">
        <v>1.6050696</v>
      </c>
      <c r="G72" s="14">
        <v>75.232192350000005</v>
      </c>
      <c r="H72" s="16">
        <v>1.6050696</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(2970/B73*100)</f>
        <v>82.568807339449549</v>
      </c>
      <c r="D73" s="15">
        <v>627</v>
      </c>
      <c r="E73" s="14">
        <v>58.090711290000002</v>
      </c>
      <c r="F73" s="16">
        <v>2.6097885500000002</v>
      </c>
      <c r="G73" s="14">
        <v>41.909288709999998</v>
      </c>
      <c r="H73" s="16">
        <v>2.6097885500000002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60.976075549999997</v>
      </c>
      <c r="F75" s="16">
        <v>2.9597689800000002</v>
      </c>
      <c r="G75" s="14">
        <v>39.023924450000003</v>
      </c>
      <c r="H75" s="16">
        <v>2.9597689800000002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52.317340909999999</v>
      </c>
      <c r="F76" s="16">
        <v>1.6152489999999999</v>
      </c>
      <c r="G76" s="14">
        <v>47.682659090000001</v>
      </c>
      <c r="H76" s="16">
        <v>1.6152489999999999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(2433/B77*100)</f>
        <v>83.665749656121051</v>
      </c>
      <c r="D77" s="15">
        <v>475</v>
      </c>
      <c r="E77" s="14">
        <v>49.383483290000001</v>
      </c>
      <c r="F77" s="16">
        <v>2.2309888400000002</v>
      </c>
      <c r="G77" s="14">
        <v>50.616516709999999</v>
      </c>
      <c r="H77" s="16">
        <v>2.2309888400000002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47.931057750000001</v>
      </c>
      <c r="F81" s="16">
        <v>2.2216386400000001</v>
      </c>
      <c r="G81" s="14">
        <v>52.068942249999999</v>
      </c>
      <c r="H81" s="16">
        <v>2.2216386400000001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(6129/B7*100)</f>
        <v>83.195330528030411</v>
      </c>
      <c r="D7" s="15">
        <v>1238</v>
      </c>
      <c r="E7" s="14">
        <v>43.389895510000002</v>
      </c>
      <c r="F7" s="16">
        <v>1.6583114299999999</v>
      </c>
      <c r="G7" s="14">
        <v>56.610104489999998</v>
      </c>
      <c r="H7" s="16">
        <v>1.6583114299999999</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42.424654240000002</v>
      </c>
      <c r="F8" s="16">
        <v>2.3268102399999999</v>
      </c>
      <c r="G8" s="14">
        <v>57.575345759999998</v>
      </c>
      <c r="H8" s="16">
        <v>2.3268102399999999</v>
      </c>
      <c r="I8" s="14" t="s">
        <v>139</v>
      </c>
      <c r="J8" s="16" t="s">
        <v>139</v>
      </c>
      <c r="K8" s="14">
        <v>0</v>
      </c>
      <c r="L8" s="16">
        <v>0</v>
      </c>
      <c r="M8" s="14">
        <v>0</v>
      </c>
      <c r="N8" s="16">
        <v>0</v>
      </c>
      <c r="O8" s="14">
        <v>0</v>
      </c>
      <c r="P8" s="16">
        <v>0</v>
      </c>
      <c r="Q8" s="14">
        <v>0</v>
      </c>
      <c r="R8" s="16">
        <v>0</v>
      </c>
    </row>
    <row r="9" spans="1:18" x14ac:dyDescent="0.25">
      <c r="A9" s="11" t="s">
        <v>141</v>
      </c>
      <c r="B9" s="13">
        <v>4899</v>
      </c>
      <c r="C9" s="14">
        <f>(4074/B9*100)</f>
        <v>83.159828536436009</v>
      </c>
      <c r="D9" s="15">
        <v>825</v>
      </c>
      <c r="E9" s="14">
        <v>49.087139059999998</v>
      </c>
      <c r="F9" s="16">
        <v>1.8531767699999999</v>
      </c>
      <c r="G9" s="14">
        <v>50.912860940000002</v>
      </c>
      <c r="H9" s="16">
        <v>1.8531767699999999</v>
      </c>
      <c r="I9" s="14" t="s">
        <v>139</v>
      </c>
      <c r="J9" s="16" t="s">
        <v>139</v>
      </c>
      <c r="K9" s="14">
        <v>0</v>
      </c>
      <c r="L9" s="16">
        <v>0</v>
      </c>
      <c r="M9" s="14">
        <v>0</v>
      </c>
      <c r="N9" s="16">
        <v>0</v>
      </c>
      <c r="O9" s="14">
        <v>0</v>
      </c>
      <c r="P9" s="16">
        <v>0</v>
      </c>
      <c r="Q9" s="14">
        <v>0</v>
      </c>
      <c r="R9" s="16">
        <v>0</v>
      </c>
    </row>
    <row r="10" spans="1:18" x14ac:dyDescent="0.25">
      <c r="A10" s="11" t="s">
        <v>142</v>
      </c>
      <c r="B10" s="13">
        <v>10036</v>
      </c>
      <c r="C10" s="14">
        <f>(8347/B10*100)</f>
        <v>83.170585890793149</v>
      </c>
      <c r="D10" s="15">
        <v>1689</v>
      </c>
      <c r="E10" s="14">
        <v>47.267137820000002</v>
      </c>
      <c r="F10" s="16">
        <v>1.67152257</v>
      </c>
      <c r="G10" s="14">
        <v>52.732862179999998</v>
      </c>
      <c r="H10" s="16">
        <v>1.67152257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(2941/B11*100)</f>
        <v>82.775119617224874</v>
      </c>
      <c r="D11" s="15">
        <v>612</v>
      </c>
      <c r="E11" s="14">
        <v>59.944398470000003</v>
      </c>
      <c r="F11" s="16">
        <v>2.4576529200000001</v>
      </c>
      <c r="G11" s="14">
        <v>40.055601529999997</v>
      </c>
      <c r="H11" s="16">
        <v>2.4576529200000001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44.412081309999998</v>
      </c>
      <c r="F12" s="16">
        <v>2.38860626</v>
      </c>
      <c r="G12" s="14">
        <v>55.587918690000002</v>
      </c>
      <c r="H12" s="16">
        <v>2.38860626</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52.653256640000002</v>
      </c>
      <c r="F13" s="16">
        <v>2.5307401399999998</v>
      </c>
      <c r="G13" s="14">
        <v>47.346743359999998</v>
      </c>
      <c r="H13" s="16">
        <v>2.5307401399999998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37.87279822</v>
      </c>
      <c r="F14" s="16">
        <v>2.5931345100000001</v>
      </c>
      <c r="G14" s="14">
        <v>62.12720178</v>
      </c>
      <c r="H14" s="16">
        <v>2.5931345100000001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58.47995659</v>
      </c>
      <c r="F15" s="16">
        <v>2.0375130100000001</v>
      </c>
      <c r="G15" s="14">
        <v>41.52004341</v>
      </c>
      <c r="H15" s="16">
        <v>2.0375130100000001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48.224022040000001</v>
      </c>
      <c r="F16" s="16">
        <v>1.8678455</v>
      </c>
      <c r="G16" s="14">
        <v>51.775977959999999</v>
      </c>
      <c r="H16" s="16">
        <v>1.8678455</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43.054472009999998</v>
      </c>
      <c r="F17" s="16">
        <v>2.2295121199999999</v>
      </c>
      <c r="G17" s="14">
        <v>56.945527990000002</v>
      </c>
      <c r="H17" s="16">
        <v>2.2295121199999999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63.731015540000001</v>
      </c>
      <c r="F18" s="16">
        <v>2.7037068999999998</v>
      </c>
      <c r="G18" s="14">
        <v>36.268984459999999</v>
      </c>
      <c r="H18" s="16">
        <v>2.7037068999999998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(2324/B19*100)</f>
        <v>82.763532763532766</v>
      </c>
      <c r="D19" s="15">
        <v>484</v>
      </c>
      <c r="E19" s="14">
        <v>52.674522140000001</v>
      </c>
      <c r="F19" s="16">
        <v>2.8923870200000001</v>
      </c>
      <c r="G19" s="14">
        <v>47.325477859999999</v>
      </c>
      <c r="H19" s="16">
        <v>2.8923870200000001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60.70272464</v>
      </c>
      <c r="F20" s="16">
        <v>2.9464939600000002</v>
      </c>
      <c r="G20" s="14">
        <v>39.29727536</v>
      </c>
      <c r="H20" s="16">
        <v>2.9464939600000002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(2437/B22*100)</f>
        <v>83.145684066871368</v>
      </c>
      <c r="D22" s="15">
        <v>494</v>
      </c>
      <c r="E22" s="14">
        <v>66.521953850000003</v>
      </c>
      <c r="F22" s="16">
        <v>2.0792314599999999</v>
      </c>
      <c r="G22" s="14">
        <v>33.478046149999997</v>
      </c>
      <c r="H22" s="16">
        <v>2.0792314599999999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58.859968930000001</v>
      </c>
      <c r="F23" s="16">
        <v>2.17024587</v>
      </c>
      <c r="G23" s="14">
        <v>41.140031069999999</v>
      </c>
      <c r="H23" s="16">
        <v>2.17024587</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28.962488960000002</v>
      </c>
      <c r="F24" s="16">
        <v>1.8055697799999999</v>
      </c>
      <c r="G24" s="14">
        <v>71.037511039999998</v>
      </c>
      <c r="H24" s="16">
        <v>1.8055697799999999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36.539386219999997</v>
      </c>
      <c r="F25" s="16">
        <v>2.16512547</v>
      </c>
      <c r="G25" s="14">
        <v>63.460613780000003</v>
      </c>
      <c r="H25" s="16">
        <v>2.16512547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58.865470139999999</v>
      </c>
      <c r="F26" s="16">
        <v>2.3963003899999999</v>
      </c>
      <c r="G26" s="14">
        <v>41.134529860000001</v>
      </c>
      <c r="H26" s="16">
        <v>2.3963003899999999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53.523734130000001</v>
      </c>
      <c r="F27" s="16">
        <v>2.0538931200000001</v>
      </c>
      <c r="G27" s="14">
        <v>46.476265869999999</v>
      </c>
      <c r="H27" s="16">
        <v>2.0538931200000001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(3113/B28*100)</f>
        <v>82.682602921646748</v>
      </c>
      <c r="D28" s="15">
        <v>652</v>
      </c>
      <c r="E28" s="14">
        <v>66.594297150000003</v>
      </c>
      <c r="F28" s="16">
        <v>1.76353976</v>
      </c>
      <c r="G28" s="14">
        <v>33.405702849999997</v>
      </c>
      <c r="H28" s="16">
        <v>1.76353976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44.318887500000002</v>
      </c>
      <c r="F29" s="16">
        <v>2.40944695</v>
      </c>
      <c r="G29" s="14">
        <v>55.681112499999998</v>
      </c>
      <c r="H29" s="16">
        <v>2.40944695</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49.13987985</v>
      </c>
      <c r="F30" s="16">
        <v>2.9006030900000002</v>
      </c>
      <c r="G30" s="14">
        <v>50.86012015</v>
      </c>
      <c r="H30" s="16">
        <v>2.9006030900000002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60.144610280000002</v>
      </c>
      <c r="F31" s="16">
        <v>2.3740785099999999</v>
      </c>
      <c r="G31" s="14">
        <v>39.855389719999998</v>
      </c>
      <c r="H31" s="16">
        <v>2.3740785099999999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52.322728269999999</v>
      </c>
      <c r="F33" s="16">
        <v>2.4251418600000001</v>
      </c>
      <c r="G33" s="14">
        <v>47.677271730000001</v>
      </c>
      <c r="H33" s="16">
        <v>2.4251418600000001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61.837310119999998</v>
      </c>
      <c r="F34" s="16">
        <v>2.2457387500000001</v>
      </c>
      <c r="G34" s="14">
        <v>38.162689880000002</v>
      </c>
      <c r="H34" s="16">
        <v>2.2457387500000001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46.022262390000002</v>
      </c>
      <c r="F35" s="16">
        <v>2.62082456</v>
      </c>
      <c r="G35" s="14">
        <v>53.977737609999998</v>
      </c>
      <c r="H35" s="16">
        <v>2.62082456</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45.55890368</v>
      </c>
      <c r="F36" s="16">
        <v>2.25928868</v>
      </c>
      <c r="G36" s="14">
        <v>54.44109632</v>
      </c>
      <c r="H36" s="16">
        <v>2.25928868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56.231261070000002</v>
      </c>
      <c r="F37" s="16">
        <v>2.1876986899999999</v>
      </c>
      <c r="G37" s="14">
        <v>43.768738929999998</v>
      </c>
      <c r="H37" s="16">
        <v>2.1876986899999999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69.037127589999997</v>
      </c>
      <c r="F39" s="16">
        <v>2.5922373099999998</v>
      </c>
      <c r="G39" s="14">
        <v>30.962872409999999</v>
      </c>
      <c r="H39" s="16">
        <v>2.5922373099999998</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44.631736150000002</v>
      </c>
      <c r="F40" s="16">
        <v>2.1877220400000001</v>
      </c>
      <c r="G40" s="14">
        <v>55.368263849999998</v>
      </c>
      <c r="H40" s="16">
        <v>2.1877220400000001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(2377/B41*100)</f>
        <v>83.170048985304419</v>
      </c>
      <c r="D41" s="15">
        <v>481</v>
      </c>
      <c r="E41" s="14">
        <v>44.841376920000002</v>
      </c>
      <c r="F41" s="16">
        <v>2.7292373699999999</v>
      </c>
      <c r="G41" s="14">
        <v>55.158623079999998</v>
      </c>
      <c r="H41" s="16">
        <v>2.7292373699999999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83.104766880846725</v>
      </c>
      <c r="D42" s="15">
        <f>IF(COUNT(D7:D41) &gt; 0, AVERAGE(D7:D41), "—")</f>
        <v>617.96875</v>
      </c>
      <c r="E42" s="14">
        <f>IF(COUNT(E7:E41) &gt; 0, AVERAGE(E7:E41), "—")</f>
        <v>51.495983044687506</v>
      </c>
      <c r="F42" s="16">
        <f>IF(COUNT(F7:F41) &gt; 0, SQRT(SUMSQ(F7:F41)/(COUNT(F7:F41)*COUNT(F7:F41)) ), "—")</f>
        <v>0.41076924962364869</v>
      </c>
      <c r="G42" s="14">
        <f>IF(COUNT(G7:G41) &gt; 0, AVERAGE(G7:G41), "—")</f>
        <v>48.504016955312494</v>
      </c>
      <c r="H42" s="16">
        <f>IF(COUNT(H7:H41) &gt; 0, SQRT(SUMSQ(H7:H41)/(COUNT(H7:H41)*COUNT(H7:H41)) ), "—")</f>
        <v>0.41076924962364869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(9309/B46*100)</f>
        <v>84.107336465486085</v>
      </c>
      <c r="D46" s="15">
        <v>1759</v>
      </c>
      <c r="E46" s="14">
        <v>66.358060140000006</v>
      </c>
      <c r="F46" s="16">
        <v>1.2764319099999999</v>
      </c>
      <c r="G46" s="14">
        <v>33.641939860000001</v>
      </c>
      <c r="H46" s="16">
        <v>1.2764319099999999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(2580/B47*100)</f>
        <v>83.091787439613526</v>
      </c>
      <c r="D47" s="15">
        <v>525</v>
      </c>
      <c r="E47" s="14">
        <v>58.958298560000003</v>
      </c>
      <c r="F47" s="16">
        <v>2.0641103699999999</v>
      </c>
      <c r="G47" s="14">
        <v>41.041701439999997</v>
      </c>
      <c r="H47" s="16">
        <v>2.0641103699999999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40.672455460000002</v>
      </c>
      <c r="F48" s="16">
        <v>1.9814097799999999</v>
      </c>
      <c r="G48" s="14">
        <v>59.327544539999998</v>
      </c>
      <c r="H48" s="16">
        <v>1.9814097799999999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(4657/B50*100)</f>
        <v>82.61486606350897</v>
      </c>
      <c r="D50" s="15">
        <v>980</v>
      </c>
      <c r="E50" s="14">
        <v>66.428793479999996</v>
      </c>
      <c r="F50" s="16">
        <v>1.83633354</v>
      </c>
      <c r="G50" s="14">
        <v>33.571206519999997</v>
      </c>
      <c r="H50" s="16">
        <v>1.83633354</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(2844/B51*100)</f>
        <v>84.341637010676152</v>
      </c>
      <c r="D51" s="15">
        <v>528</v>
      </c>
      <c r="E51" s="14">
        <v>59.570548680000002</v>
      </c>
      <c r="F51" s="16">
        <v>2.1599884500000002</v>
      </c>
      <c r="G51" s="14">
        <v>40.429451319999998</v>
      </c>
      <c r="H51" s="16">
        <v>2.1599884500000002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58.571851590000001</v>
      </c>
      <c r="F52" s="16">
        <v>2.27550608</v>
      </c>
      <c r="G52" s="14">
        <v>41.428148409999999</v>
      </c>
      <c r="H52" s="16">
        <v>2.27550608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59.397030409999999</v>
      </c>
      <c r="F53" s="16">
        <v>2.30990874</v>
      </c>
      <c r="G53" s="14">
        <v>40.602969590000001</v>
      </c>
      <c r="H53" s="16">
        <v>2.30990874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26.451514710000001</v>
      </c>
      <c r="F56" s="16">
        <v>2.5604477999999999</v>
      </c>
      <c r="G56" s="14">
        <v>73.548485290000002</v>
      </c>
      <c r="H56" s="16">
        <v>2.5604477999999999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55.537184099999997</v>
      </c>
      <c r="F61" s="16">
        <v>2.2566926500000002</v>
      </c>
      <c r="G61" s="14">
        <v>44.462815900000003</v>
      </c>
      <c r="H61" s="16">
        <v>2.2566926500000002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31.617317660000001</v>
      </c>
      <c r="F62" s="16">
        <v>2.2313534599999998</v>
      </c>
      <c r="G62" s="14">
        <v>68.382682340000002</v>
      </c>
      <c r="H62" s="16">
        <v>2.2313534599999998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64.043635019999996</v>
      </c>
      <c r="F66" s="16">
        <v>1.9752367900000001</v>
      </c>
      <c r="G66" s="14">
        <v>35.956364979999996</v>
      </c>
      <c r="H66" s="16">
        <v>1.9752367900000001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(2934/B67*100)</f>
        <v>83.565935630874407</v>
      </c>
      <c r="D67" s="15">
        <v>577</v>
      </c>
      <c r="E67" s="14">
        <v>68.893252590000003</v>
      </c>
      <c r="F67" s="16">
        <v>1.9057333000000001</v>
      </c>
      <c r="G67" s="14">
        <v>31.106747410000001</v>
      </c>
      <c r="H67" s="16">
        <v>1.9057333000000001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(2431/B70*100)</f>
        <v>82.997610105838177</v>
      </c>
      <c r="D70" s="15">
        <v>498</v>
      </c>
      <c r="E70" s="14">
        <v>57.171236739999998</v>
      </c>
      <c r="F70" s="16">
        <v>2.38587733</v>
      </c>
      <c r="G70" s="14">
        <v>42.828763260000002</v>
      </c>
      <c r="H70" s="16">
        <v>2.38587733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37.408210660000002</v>
      </c>
      <c r="F72" s="16">
        <v>1.706223</v>
      </c>
      <c r="G72" s="14">
        <v>62.591789339999998</v>
      </c>
      <c r="H72" s="16">
        <v>1.706223</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(2970/B73*100)</f>
        <v>82.568807339449549</v>
      </c>
      <c r="D73" s="15">
        <v>627</v>
      </c>
      <c r="E73" s="14">
        <v>54.605654739999999</v>
      </c>
      <c r="F73" s="16">
        <v>2.40096248</v>
      </c>
      <c r="G73" s="14">
        <v>45.394345260000001</v>
      </c>
      <c r="H73" s="16">
        <v>2.40096248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73.76276301</v>
      </c>
      <c r="F75" s="16">
        <v>2.3068926200000002</v>
      </c>
      <c r="G75" s="14">
        <v>26.23723699</v>
      </c>
      <c r="H75" s="16">
        <v>2.3068926200000002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60.01556661</v>
      </c>
      <c r="F76" s="16">
        <v>1.93945524</v>
      </c>
      <c r="G76" s="14">
        <v>39.98443339</v>
      </c>
      <c r="H76" s="16">
        <v>1.93945524</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(2433/B77*100)</f>
        <v>83.665749656121051</v>
      </c>
      <c r="D77" s="15">
        <v>475</v>
      </c>
      <c r="E77" s="14">
        <v>58.035785709999999</v>
      </c>
      <c r="F77" s="16">
        <v>2.5678594600000002</v>
      </c>
      <c r="G77" s="14">
        <v>41.964214290000001</v>
      </c>
      <c r="H77" s="16">
        <v>2.5678594600000002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49.645963940000001</v>
      </c>
      <c r="F81" s="16">
        <v>2.2613381700000001</v>
      </c>
      <c r="G81" s="14">
        <v>50.354036059999999</v>
      </c>
      <c r="H81" s="16">
        <v>2.2613381700000001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302</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(6129/B7*100)</f>
        <v>83.195330528030411</v>
      </c>
      <c r="D7" s="15">
        <v>1238</v>
      </c>
      <c r="E7" s="14">
        <v>30.178181590000001</v>
      </c>
      <c r="F7" s="16">
        <v>1.6538752299999999</v>
      </c>
      <c r="G7" s="14">
        <v>69.821818410000006</v>
      </c>
      <c r="H7" s="16">
        <v>1.6538752299999999</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26.76741603</v>
      </c>
      <c r="F8" s="16">
        <v>1.7366822500000001</v>
      </c>
      <c r="G8" s="14">
        <v>73.232583969999993</v>
      </c>
      <c r="H8" s="16">
        <v>1.7366822500000001</v>
      </c>
      <c r="I8" s="14" t="s">
        <v>139</v>
      </c>
      <c r="J8" s="16" t="s">
        <v>139</v>
      </c>
      <c r="K8" s="14">
        <v>0</v>
      </c>
      <c r="L8" s="16">
        <v>0</v>
      </c>
      <c r="M8" s="14">
        <v>0</v>
      </c>
      <c r="N8" s="16">
        <v>0</v>
      </c>
      <c r="O8" s="14">
        <v>0</v>
      </c>
      <c r="P8" s="16">
        <v>0</v>
      </c>
      <c r="Q8" s="14">
        <v>0</v>
      </c>
      <c r="R8" s="16">
        <v>0</v>
      </c>
    </row>
    <row r="9" spans="1:18" x14ac:dyDescent="0.25">
      <c r="A9" s="11" t="s">
        <v>141</v>
      </c>
      <c r="B9" s="13">
        <v>4899</v>
      </c>
      <c r="C9" s="14">
        <f>(4074/B9*100)</f>
        <v>83.159828536436009</v>
      </c>
      <c r="D9" s="15">
        <v>825</v>
      </c>
      <c r="E9" s="14">
        <v>25.529779529999999</v>
      </c>
      <c r="F9" s="16">
        <v>1.67554621</v>
      </c>
      <c r="G9" s="14">
        <v>74.470220470000001</v>
      </c>
      <c r="H9" s="16">
        <v>1.67554621</v>
      </c>
      <c r="I9" s="14" t="s">
        <v>139</v>
      </c>
      <c r="J9" s="16" t="s">
        <v>139</v>
      </c>
      <c r="K9" s="14">
        <v>0</v>
      </c>
      <c r="L9" s="16">
        <v>0</v>
      </c>
      <c r="M9" s="14">
        <v>0</v>
      </c>
      <c r="N9" s="16">
        <v>0</v>
      </c>
      <c r="O9" s="14">
        <v>0</v>
      </c>
      <c r="P9" s="16">
        <v>0</v>
      </c>
      <c r="Q9" s="14">
        <v>0</v>
      </c>
      <c r="R9" s="16">
        <v>0</v>
      </c>
    </row>
    <row r="10" spans="1:18" x14ac:dyDescent="0.25">
      <c r="A10" s="11" t="s">
        <v>142</v>
      </c>
      <c r="B10" s="13">
        <v>10036</v>
      </c>
      <c r="C10" s="14">
        <f>(8347/B10*100)</f>
        <v>83.170585890793149</v>
      </c>
      <c r="D10" s="15">
        <v>1689</v>
      </c>
      <c r="E10" s="14">
        <v>29.937629529999999</v>
      </c>
      <c r="F10" s="16">
        <v>1.5094298100000001</v>
      </c>
      <c r="G10" s="14">
        <v>70.062370470000005</v>
      </c>
      <c r="H10" s="16">
        <v>1.5094298100000001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(2941/B11*100)</f>
        <v>82.775119617224874</v>
      </c>
      <c r="D11" s="15">
        <v>612</v>
      </c>
      <c r="E11" s="14">
        <v>38.214053300000003</v>
      </c>
      <c r="F11" s="16">
        <v>2.1600206800000001</v>
      </c>
      <c r="G11" s="14">
        <v>61.785946699999997</v>
      </c>
      <c r="H11" s="16">
        <v>2.1600206800000001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30.18539436</v>
      </c>
      <c r="F12" s="16">
        <v>1.84949466</v>
      </c>
      <c r="G12" s="14">
        <v>69.814605639999996</v>
      </c>
      <c r="H12" s="16">
        <v>1.84949466</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22.56082207</v>
      </c>
      <c r="F13" s="16">
        <v>1.9253750199999999</v>
      </c>
      <c r="G13" s="14">
        <v>77.43917793</v>
      </c>
      <c r="H13" s="16">
        <v>1.9253750199999999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16.923336020000001</v>
      </c>
      <c r="F14" s="16">
        <v>1.7545781899999999</v>
      </c>
      <c r="G14" s="14">
        <v>83.076663980000006</v>
      </c>
      <c r="H14" s="16">
        <v>1.7545781899999999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20.080709989999999</v>
      </c>
      <c r="F15" s="16">
        <v>1.7743377899999999</v>
      </c>
      <c r="G15" s="14">
        <v>79.919290009999997</v>
      </c>
      <c r="H15" s="16">
        <v>1.7743377899999999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32.886986180000001</v>
      </c>
      <c r="F16" s="16">
        <v>2.0722919800000001</v>
      </c>
      <c r="G16" s="14">
        <v>67.113013820000006</v>
      </c>
      <c r="H16" s="16">
        <v>2.0722919800000001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21.257452430000001</v>
      </c>
      <c r="F17" s="16">
        <v>1.6398531999999999</v>
      </c>
      <c r="G17" s="14">
        <v>78.742547569999999</v>
      </c>
      <c r="H17" s="16">
        <v>1.6398531999999999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33.400715030000001</v>
      </c>
      <c r="F18" s="16">
        <v>2.61470739</v>
      </c>
      <c r="G18" s="14">
        <v>66.599284969999999</v>
      </c>
      <c r="H18" s="16">
        <v>2.61470739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(2324/B19*100)</f>
        <v>82.763532763532766</v>
      </c>
      <c r="D19" s="15">
        <v>484</v>
      </c>
      <c r="E19" s="14">
        <v>36.95757064</v>
      </c>
      <c r="F19" s="16">
        <v>2.6095125499999998</v>
      </c>
      <c r="G19" s="14">
        <v>63.04242936</v>
      </c>
      <c r="H19" s="16">
        <v>2.6095125499999998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34.195130540000001</v>
      </c>
      <c r="F20" s="16">
        <v>2.7261622600000002</v>
      </c>
      <c r="G20" s="14">
        <v>65.804869460000006</v>
      </c>
      <c r="H20" s="16">
        <v>2.7261622600000002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(2437/B22*100)</f>
        <v>83.145684066871368</v>
      </c>
      <c r="D22" s="15">
        <v>494</v>
      </c>
      <c r="E22" s="14">
        <v>35.106378159999998</v>
      </c>
      <c r="F22" s="16">
        <v>2.0057354200000002</v>
      </c>
      <c r="G22" s="14">
        <v>64.893621839999994</v>
      </c>
      <c r="H22" s="16">
        <v>2.0057354200000002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38.732113419999997</v>
      </c>
      <c r="F23" s="16">
        <v>1.73848202</v>
      </c>
      <c r="G23" s="14">
        <v>61.267886580000003</v>
      </c>
      <c r="H23" s="16">
        <v>1.73848202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31.790402440000001</v>
      </c>
      <c r="F24" s="16">
        <v>1.8696837399999999</v>
      </c>
      <c r="G24" s="14">
        <v>68.209597560000006</v>
      </c>
      <c r="H24" s="16">
        <v>1.8696837399999999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34.460235769999997</v>
      </c>
      <c r="F25" s="16">
        <v>2.1724657000000001</v>
      </c>
      <c r="G25" s="14">
        <v>65.539764230000003</v>
      </c>
      <c r="H25" s="16">
        <v>2.1724657000000001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36.097715559999997</v>
      </c>
      <c r="F26" s="16">
        <v>2.3955670200000001</v>
      </c>
      <c r="G26" s="14">
        <v>63.902284440000003</v>
      </c>
      <c r="H26" s="16">
        <v>2.3955670200000001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33.150797730000001</v>
      </c>
      <c r="F27" s="16">
        <v>2.2968824699999999</v>
      </c>
      <c r="G27" s="14">
        <v>66.849202270000006</v>
      </c>
      <c r="H27" s="16">
        <v>2.2968824699999999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(3113/B28*100)</f>
        <v>82.682602921646748</v>
      </c>
      <c r="D28" s="15">
        <v>652</v>
      </c>
      <c r="E28" s="14">
        <v>27.808241769999999</v>
      </c>
      <c r="F28" s="16">
        <v>1.85353711</v>
      </c>
      <c r="G28" s="14">
        <v>72.191758230000005</v>
      </c>
      <c r="H28" s="16">
        <v>1.85353711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24.595225589999998</v>
      </c>
      <c r="F29" s="16">
        <v>2.1946413200000001</v>
      </c>
      <c r="G29" s="14">
        <v>75.404774410000002</v>
      </c>
      <c r="H29" s="16">
        <v>2.1946413200000001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32.188085440000002</v>
      </c>
      <c r="F30" s="16">
        <v>2.8516029999999999</v>
      </c>
      <c r="G30" s="14">
        <v>67.811914560000005</v>
      </c>
      <c r="H30" s="16">
        <v>2.8516029999999999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(2291/B31*100)</f>
        <v>83.309090909090912</v>
      </c>
      <c r="D31" s="15">
        <v>459</v>
      </c>
      <c r="E31" s="14">
        <v>30.521859370000001</v>
      </c>
      <c r="F31" s="16">
        <v>2.22564663</v>
      </c>
      <c r="G31" s="14">
        <v>69.478140629999999</v>
      </c>
      <c r="H31" s="16">
        <v>2.22564663</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25.20275243</v>
      </c>
      <c r="F33" s="16">
        <v>2.1920909499999999</v>
      </c>
      <c r="G33" s="14">
        <v>74.797247569999996</v>
      </c>
      <c r="H33" s="16">
        <v>2.1920909499999999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33.181931579999997</v>
      </c>
      <c r="F34" s="16">
        <v>2.0321343399999998</v>
      </c>
      <c r="G34" s="14">
        <v>66.818068420000003</v>
      </c>
      <c r="H34" s="16">
        <v>2.0321343399999998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24.457346579999999</v>
      </c>
      <c r="F35" s="16">
        <v>2.5336852400000001</v>
      </c>
      <c r="G35" s="14">
        <v>75.542653419999994</v>
      </c>
      <c r="H35" s="16">
        <v>2.5336852400000001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25.025449389999999</v>
      </c>
      <c r="F36" s="16">
        <v>1.6689695200000001</v>
      </c>
      <c r="G36" s="14">
        <v>74.974550609999994</v>
      </c>
      <c r="H36" s="16">
        <v>1.6689695200000001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23.736655930000001</v>
      </c>
      <c r="F37" s="16">
        <v>1.75744426</v>
      </c>
      <c r="G37" s="14">
        <v>76.263344070000002</v>
      </c>
      <c r="H37" s="16">
        <v>1.75744426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46.928160259999999</v>
      </c>
      <c r="F39" s="16">
        <v>2.6219999899999999</v>
      </c>
      <c r="G39" s="14">
        <v>53.071839740000001</v>
      </c>
      <c r="H39" s="16">
        <v>2.6219999899999999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30.113279810000002</v>
      </c>
      <c r="F40" s="16">
        <v>1.9633577499999999</v>
      </c>
      <c r="G40" s="14">
        <v>69.886720190000005</v>
      </c>
      <c r="H40" s="16">
        <v>1.9633577499999999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(2377/B41*100)</f>
        <v>83.170048985304419</v>
      </c>
      <c r="D41" s="15">
        <v>481</v>
      </c>
      <c r="E41" s="14">
        <v>36.16331521</v>
      </c>
      <c r="F41" s="16">
        <v>2.49207584</v>
      </c>
      <c r="G41" s="14">
        <v>63.83668479</v>
      </c>
      <c r="H41" s="16">
        <v>2.49207584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83.104766880846725</v>
      </c>
      <c r="D42" s="15">
        <f>IF(COUNT(D7:D41) &gt; 0, AVERAGE(D7:D41), "—")</f>
        <v>617.96875</v>
      </c>
      <c r="E42" s="14">
        <f>IF(COUNT(E7:E41) &gt; 0, AVERAGE(E7:E41), "—")</f>
        <v>30.260472614999998</v>
      </c>
      <c r="F42" s="16">
        <f>IF(COUNT(F7:F41) &gt; 0, SQRT(SUMSQ(F7:F41)/(COUNT(F7:F41)*COUNT(F7:F41)) ), "—")</f>
        <v>0.37330334759217237</v>
      </c>
      <c r="G42" s="14">
        <f>IF(COUNT(G7:G41) &gt; 0, AVERAGE(G7:G41), "—")</f>
        <v>69.739527385000017</v>
      </c>
      <c r="H42" s="16">
        <f>IF(COUNT(H7:H41) &gt; 0, SQRT(SUMSQ(H7:H41)/(COUNT(H7:H41)*COUNT(H7:H41)) ), "—")</f>
        <v>0.37330334759217237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(9309/B46*100)</f>
        <v>84.107336465486085</v>
      </c>
      <c r="D46" s="15">
        <v>1759</v>
      </c>
      <c r="E46" s="14">
        <v>53.78347514</v>
      </c>
      <c r="F46" s="16">
        <v>1.6686861399999999</v>
      </c>
      <c r="G46" s="14">
        <v>46.21652486</v>
      </c>
      <c r="H46" s="16">
        <v>1.6686861399999999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(2580/B47*100)</f>
        <v>83.091787439613526</v>
      </c>
      <c r="D47" s="15">
        <v>525</v>
      </c>
      <c r="E47" s="14">
        <v>39.93408926</v>
      </c>
      <c r="F47" s="16">
        <v>2.4378419600000001</v>
      </c>
      <c r="G47" s="14">
        <v>60.06591074</v>
      </c>
      <c r="H47" s="16">
        <v>2.4378419600000001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42.05236815</v>
      </c>
      <c r="F48" s="16">
        <v>2.4099569700000001</v>
      </c>
      <c r="G48" s="14">
        <v>57.94763185</v>
      </c>
      <c r="H48" s="16">
        <v>2.4099569700000001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(4657/B50*100)</f>
        <v>82.61486606350897</v>
      </c>
      <c r="D50" s="15">
        <v>980</v>
      </c>
      <c r="E50" s="14">
        <v>46.496504020000003</v>
      </c>
      <c r="F50" s="16">
        <v>2.0589762299999999</v>
      </c>
      <c r="G50" s="14">
        <v>53.503495979999997</v>
      </c>
      <c r="H50" s="16">
        <v>2.0589762299999999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(2844/B51*100)</f>
        <v>84.341637010676152</v>
      </c>
      <c r="D51" s="15">
        <v>528</v>
      </c>
      <c r="E51" s="14">
        <v>42.73808966</v>
      </c>
      <c r="F51" s="16">
        <v>2.12838824</v>
      </c>
      <c r="G51" s="14">
        <v>57.26191034</v>
      </c>
      <c r="H51" s="16">
        <v>2.12838824</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35.122406220000002</v>
      </c>
      <c r="F52" s="16">
        <v>2.04036119</v>
      </c>
      <c r="G52" s="14">
        <v>64.877593779999998</v>
      </c>
      <c r="H52" s="16">
        <v>2.04036119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44.581296279999997</v>
      </c>
      <c r="F53" s="16">
        <v>2.27252813</v>
      </c>
      <c r="G53" s="14">
        <v>55.418703720000003</v>
      </c>
      <c r="H53" s="16">
        <v>2.27252813</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(2239/B56*100)</f>
        <v>83.420268256333827</v>
      </c>
      <c r="D56" s="15">
        <v>445</v>
      </c>
      <c r="E56" s="14">
        <v>33.919471510000001</v>
      </c>
      <c r="F56" s="16">
        <v>2.4465595900000001</v>
      </c>
      <c r="G56" s="14">
        <v>66.080528490000006</v>
      </c>
      <c r="H56" s="16">
        <v>2.4465595900000001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24.00869621</v>
      </c>
      <c r="F61" s="16">
        <v>2.3921612699999999</v>
      </c>
      <c r="G61" s="14">
        <v>75.991303790000003</v>
      </c>
      <c r="H61" s="16">
        <v>2.3921612699999999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45.730064720000001</v>
      </c>
      <c r="F62" s="16">
        <v>2.5139272400000001</v>
      </c>
      <c r="G62" s="14">
        <v>54.269935279999999</v>
      </c>
      <c r="H62" s="16">
        <v>2.5139272400000001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41.876461730000003</v>
      </c>
      <c r="F66" s="16">
        <v>2.3130344599999999</v>
      </c>
      <c r="G66" s="14">
        <v>58.123538269999997</v>
      </c>
      <c r="H66" s="16">
        <v>2.3130344599999999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(2934/B67*100)</f>
        <v>83.565935630874407</v>
      </c>
      <c r="D67" s="15">
        <v>577</v>
      </c>
      <c r="E67" s="14">
        <v>45.747090970000002</v>
      </c>
      <c r="F67" s="16">
        <v>2.23944381</v>
      </c>
      <c r="G67" s="14">
        <v>54.252909029999998</v>
      </c>
      <c r="H67" s="16">
        <v>2.23944381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(2431/B70*100)</f>
        <v>82.997610105838177</v>
      </c>
      <c r="D70" s="15">
        <v>498</v>
      </c>
      <c r="E70" s="14">
        <v>35.599883720000001</v>
      </c>
      <c r="F70" s="16">
        <v>2.5777795999999999</v>
      </c>
      <c r="G70" s="14">
        <v>64.400116280000006</v>
      </c>
      <c r="H70" s="16">
        <v>2.5777795999999999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37.805591669999998</v>
      </c>
      <c r="F72" s="16">
        <v>1.76886754</v>
      </c>
      <c r="G72" s="14">
        <v>62.194408330000002</v>
      </c>
      <c r="H72" s="16">
        <v>1.76886754</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(2970/B73*100)</f>
        <v>82.568807339449549</v>
      </c>
      <c r="D73" s="15">
        <v>627</v>
      </c>
      <c r="E73" s="14">
        <v>54.184256990000002</v>
      </c>
      <c r="F73" s="16">
        <v>2.4789066700000002</v>
      </c>
      <c r="G73" s="14">
        <v>45.815743009999998</v>
      </c>
      <c r="H73" s="16">
        <v>2.4789066700000002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51.8913248</v>
      </c>
      <c r="F75" s="16">
        <v>2.6093460500000001</v>
      </c>
      <c r="G75" s="14">
        <v>48.1086752</v>
      </c>
      <c r="H75" s="16">
        <v>2.6093460500000001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52.243193820000002</v>
      </c>
      <c r="F76" s="16">
        <v>1.5882594000000001</v>
      </c>
      <c r="G76" s="14">
        <v>47.756806179999998</v>
      </c>
      <c r="H76" s="16">
        <v>1.5882594000000001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(2433/B77*100)</f>
        <v>83.665749656121051</v>
      </c>
      <c r="D77" s="15">
        <v>475</v>
      </c>
      <c r="E77" s="14">
        <v>34.556050749999997</v>
      </c>
      <c r="F77" s="16">
        <v>2.3355046700000002</v>
      </c>
      <c r="G77" s="14">
        <v>65.443949250000003</v>
      </c>
      <c r="H77" s="16">
        <v>2.3355046700000002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51.265640580000003</v>
      </c>
      <c r="F81" s="16">
        <v>2.5997336799999999</v>
      </c>
      <c r="G81" s="14">
        <v>48.734359419999997</v>
      </c>
      <c r="H81" s="16">
        <v>2.5997336799999999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(6131/B7*100)</f>
        <v>83.222478620876885</v>
      </c>
      <c r="D7" s="15">
        <v>1236</v>
      </c>
      <c r="E7" s="14">
        <v>48.32073157</v>
      </c>
      <c r="F7" s="16">
        <v>1.69573687</v>
      </c>
      <c r="G7" s="14">
        <v>51.67926843</v>
      </c>
      <c r="H7" s="16">
        <v>1.69573687</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56.4115897</v>
      </c>
      <c r="F8" s="16">
        <v>2.1726147</v>
      </c>
      <c r="G8" s="14">
        <v>43.5884103</v>
      </c>
      <c r="H8" s="16">
        <v>2.1726147</v>
      </c>
      <c r="I8" s="14" t="s">
        <v>139</v>
      </c>
      <c r="J8" s="16" t="s">
        <v>139</v>
      </c>
      <c r="K8" s="14">
        <v>0</v>
      </c>
      <c r="L8" s="16">
        <v>0</v>
      </c>
      <c r="M8" s="14">
        <v>0</v>
      </c>
      <c r="N8" s="16">
        <v>0</v>
      </c>
      <c r="O8" s="14">
        <v>0</v>
      </c>
      <c r="P8" s="16">
        <v>0</v>
      </c>
      <c r="Q8" s="14">
        <v>0</v>
      </c>
      <c r="R8" s="16">
        <v>0</v>
      </c>
    </row>
    <row r="9" spans="1:18" x14ac:dyDescent="0.25">
      <c r="A9" s="11" t="s">
        <v>141</v>
      </c>
      <c r="B9" s="13">
        <v>4899</v>
      </c>
      <c r="C9" s="14">
        <f>(4076/B9*100)</f>
        <v>83.200653194529494</v>
      </c>
      <c r="D9" s="15">
        <v>823</v>
      </c>
      <c r="E9" s="14">
        <v>61.573760620000002</v>
      </c>
      <c r="F9" s="16">
        <v>1.8830197099999999</v>
      </c>
      <c r="G9" s="14">
        <v>38.426239379999998</v>
      </c>
      <c r="H9" s="16">
        <v>1.8830197099999999</v>
      </c>
      <c r="I9" s="14" t="s">
        <v>139</v>
      </c>
      <c r="J9" s="16" t="s">
        <v>139</v>
      </c>
      <c r="K9" s="14">
        <v>0</v>
      </c>
      <c r="L9" s="16">
        <v>0</v>
      </c>
      <c r="M9" s="14">
        <v>0</v>
      </c>
      <c r="N9" s="16">
        <v>0</v>
      </c>
      <c r="O9" s="14">
        <v>0</v>
      </c>
      <c r="P9" s="16">
        <v>0</v>
      </c>
      <c r="Q9" s="14">
        <v>0</v>
      </c>
      <c r="R9" s="16">
        <v>0</v>
      </c>
    </row>
    <row r="10" spans="1:18" x14ac:dyDescent="0.25">
      <c r="A10" s="11" t="s">
        <v>142</v>
      </c>
      <c r="B10" s="13">
        <v>10036</v>
      </c>
      <c r="C10" s="14">
        <f>(8351/B10*100)</f>
        <v>83.210442407333602</v>
      </c>
      <c r="D10" s="15">
        <v>1685</v>
      </c>
      <c r="E10" s="14">
        <v>51.079175849999999</v>
      </c>
      <c r="F10" s="16">
        <v>1.69780347</v>
      </c>
      <c r="G10" s="14">
        <v>48.920824150000001</v>
      </c>
      <c r="H10" s="16">
        <v>1.69780347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68.424421850000002</v>
      </c>
      <c r="F11" s="16">
        <v>2.3303565499999999</v>
      </c>
      <c r="G11" s="14">
        <v>31.575578149999998</v>
      </c>
      <c r="H11" s="16">
        <v>2.3303565499999999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72.579631079999999</v>
      </c>
      <c r="F12" s="16">
        <v>1.7856495699999999</v>
      </c>
      <c r="G12" s="14">
        <v>27.420368920000001</v>
      </c>
      <c r="H12" s="16">
        <v>1.7856495699999999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55.019613849999999</v>
      </c>
      <c r="F13" s="16">
        <v>2.3981714699999999</v>
      </c>
      <c r="G13" s="14">
        <v>44.980386150000001</v>
      </c>
      <c r="H13" s="16">
        <v>2.3981714699999999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53.69854917</v>
      </c>
      <c r="F14" s="16">
        <v>2.81390662</v>
      </c>
      <c r="G14" s="14">
        <v>46.30145083</v>
      </c>
      <c r="H14" s="16">
        <v>2.81390662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60.303420389999999</v>
      </c>
      <c r="F15" s="16">
        <v>1.9321821800000001</v>
      </c>
      <c r="G15" s="14">
        <v>39.696579610000001</v>
      </c>
      <c r="H15" s="16">
        <v>1.9321821800000001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66.023418030000002</v>
      </c>
      <c r="F16" s="16">
        <v>2.1341756200000002</v>
      </c>
      <c r="G16" s="14">
        <v>33.976581969999998</v>
      </c>
      <c r="H16" s="16">
        <v>2.1341756200000002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56.122566849999998</v>
      </c>
      <c r="F17" s="16">
        <v>2.4839967399999998</v>
      </c>
      <c r="G17" s="14">
        <v>43.877433150000002</v>
      </c>
      <c r="H17" s="16">
        <v>2.4839967399999998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73.915371149999999</v>
      </c>
      <c r="F18" s="16">
        <v>2.0135163600000001</v>
      </c>
      <c r="G18" s="14">
        <v>26.084628850000001</v>
      </c>
      <c r="H18" s="16">
        <v>2.0135163600000001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(2325/B19*100)</f>
        <v>82.799145299145295</v>
      </c>
      <c r="D19" s="15">
        <v>483</v>
      </c>
      <c r="E19" s="14">
        <v>70.37991212</v>
      </c>
      <c r="F19" s="16">
        <v>2.28946476</v>
      </c>
      <c r="G19" s="14">
        <v>29.62008788</v>
      </c>
      <c r="H19" s="16">
        <v>2.28946476</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59.492818890000002</v>
      </c>
      <c r="F20" s="16">
        <v>2.7900365499999999</v>
      </c>
      <c r="G20" s="14">
        <v>40.507181109999998</v>
      </c>
      <c r="H20" s="16">
        <v>2.7900365499999999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(2438/B22*100)</f>
        <v>83.179802115319006</v>
      </c>
      <c r="D22" s="15">
        <v>493</v>
      </c>
      <c r="E22" s="14">
        <v>71.710082650000004</v>
      </c>
      <c r="F22" s="16">
        <v>1.94622363</v>
      </c>
      <c r="G22" s="14">
        <v>28.28991735</v>
      </c>
      <c r="H22" s="16">
        <v>1.94622363</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74.956365410000004</v>
      </c>
      <c r="F23" s="16">
        <v>1.7722062300000001</v>
      </c>
      <c r="G23" s="14">
        <v>25.04363459</v>
      </c>
      <c r="H23" s="16">
        <v>1.7722062300000001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44.922977779999997</v>
      </c>
      <c r="F24" s="16">
        <v>2.2513350000000001</v>
      </c>
      <c r="G24" s="14">
        <v>55.077022220000003</v>
      </c>
      <c r="H24" s="16">
        <v>2.2513350000000001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17.261674800000002</v>
      </c>
      <c r="F25" s="16">
        <v>1.7658651700000001</v>
      </c>
      <c r="G25" s="14">
        <v>82.738325200000006</v>
      </c>
      <c r="H25" s="16">
        <v>1.7658651700000001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63.036725590000003</v>
      </c>
      <c r="F26" s="16">
        <v>2.68844547</v>
      </c>
      <c r="G26" s="14">
        <v>36.963274409999997</v>
      </c>
      <c r="H26" s="16">
        <v>2.68844547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(2179/B27*100)</f>
        <v>83.295107033639155</v>
      </c>
      <c r="D27" s="15">
        <v>437</v>
      </c>
      <c r="E27" s="14">
        <v>62.521501430000001</v>
      </c>
      <c r="F27" s="16">
        <v>2.27184622</v>
      </c>
      <c r="G27" s="14">
        <v>37.478498569999999</v>
      </c>
      <c r="H27" s="16">
        <v>2.27184622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(3119/B28*100)</f>
        <v>82.841965471447537</v>
      </c>
      <c r="D28" s="15">
        <v>646</v>
      </c>
      <c r="E28" s="14">
        <v>69.928725029999995</v>
      </c>
      <c r="F28" s="16">
        <v>1.7206722999999999</v>
      </c>
      <c r="G28" s="14">
        <v>30.071274970000001</v>
      </c>
      <c r="H28" s="16">
        <v>1.7206722999999999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59.568122430000003</v>
      </c>
      <c r="F29" s="16">
        <v>2.75171286</v>
      </c>
      <c r="G29" s="14">
        <v>40.431877569999997</v>
      </c>
      <c r="H29" s="16">
        <v>2.75171286</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46.405754960000003</v>
      </c>
      <c r="F30" s="16">
        <v>2.7171153499999998</v>
      </c>
      <c r="G30" s="14">
        <v>53.594245039999997</v>
      </c>
      <c r="H30" s="16">
        <v>2.7171153499999998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(2292/B31*100)</f>
        <v>83.345454545454544</v>
      </c>
      <c r="D31" s="15">
        <v>458</v>
      </c>
      <c r="E31" s="14">
        <v>66.995182749999998</v>
      </c>
      <c r="F31" s="16">
        <v>2.00627442</v>
      </c>
      <c r="G31" s="14">
        <v>33.004817250000002</v>
      </c>
      <c r="H31" s="16">
        <v>2.00627442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57.662704959999999</v>
      </c>
      <c r="F33" s="16">
        <v>2.1632049499999999</v>
      </c>
      <c r="G33" s="14">
        <v>42.337295040000001</v>
      </c>
      <c r="H33" s="16">
        <v>2.1632049499999999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62.676868599999999</v>
      </c>
      <c r="F34" s="16">
        <v>2.2806092699999998</v>
      </c>
      <c r="G34" s="14">
        <v>37.323131400000001</v>
      </c>
      <c r="H34" s="16">
        <v>2.2806092699999998</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70.31843422</v>
      </c>
      <c r="F35" s="16">
        <v>2.4733553800000001</v>
      </c>
      <c r="G35" s="14">
        <v>29.68156578</v>
      </c>
      <c r="H35" s="16">
        <v>2.4733553800000001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66.949335840000003</v>
      </c>
      <c r="F36" s="16">
        <v>1.9623567099999999</v>
      </c>
      <c r="G36" s="14">
        <v>33.050664159999997</v>
      </c>
      <c r="H36" s="16">
        <v>1.9623567099999999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70.080939790000002</v>
      </c>
      <c r="F37" s="16">
        <v>2.33967372</v>
      </c>
      <c r="G37" s="14">
        <v>29.919060210000001</v>
      </c>
      <c r="H37" s="16">
        <v>2.33967372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62.371763459999997</v>
      </c>
      <c r="F39" s="16">
        <v>2.44728638</v>
      </c>
      <c r="G39" s="14">
        <v>37.628236540000003</v>
      </c>
      <c r="H39" s="16">
        <v>2.44728638</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50.444187700000001</v>
      </c>
      <c r="F40" s="16">
        <v>1.9073097699999999</v>
      </c>
      <c r="G40" s="14">
        <v>49.555812299999999</v>
      </c>
      <c r="H40" s="16">
        <v>1.9073097699999999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51.922086960000001</v>
      </c>
      <c r="F41" s="16">
        <v>2.7665310500000002</v>
      </c>
      <c r="G41" s="14">
        <v>48.077913039999999</v>
      </c>
      <c r="H41" s="16">
        <v>2.7665310500000002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83.119498451890067</v>
      </c>
      <c r="D42" s="15">
        <f>IF(COUNT(D7:D41) &gt; 0, AVERAGE(D7:D41), "—")</f>
        <v>617.34375</v>
      </c>
      <c r="E42" s="14">
        <f>IF(COUNT(E7:E41) &gt; 0, AVERAGE(E7:E41), "—")</f>
        <v>60.096200483749982</v>
      </c>
      <c r="F42" s="16">
        <f>IF(COUNT(F7:F41) &gt; 0, SQRT(SUMSQ(F7:F41)/(COUNT(F7:F41)*COUNT(F7:F41)) ), "—")</f>
        <v>0.39516058469949228</v>
      </c>
      <c r="G42" s="14">
        <f>IF(COUNT(G7:G41) &gt; 0, AVERAGE(G7:G41), "—")</f>
        <v>39.903799516250004</v>
      </c>
      <c r="H42" s="16">
        <f>IF(COUNT(H7:H41) &gt; 0, SQRT(SUMSQ(H7:H41)/(COUNT(H7:H41)*COUNT(H7:H41)) ), "—")</f>
        <v>0.39516058469949228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(9327/B46*100)</f>
        <v>84.269967473798332</v>
      </c>
      <c r="D46" s="15">
        <v>1741</v>
      </c>
      <c r="E46" s="14">
        <v>72.727062799999999</v>
      </c>
      <c r="F46" s="16">
        <v>1.3826526400000001</v>
      </c>
      <c r="G46" s="14">
        <v>27.272937200000001</v>
      </c>
      <c r="H46" s="16">
        <v>1.3826526400000001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(2582/B47*100)</f>
        <v>83.156199677938815</v>
      </c>
      <c r="D47" s="15">
        <v>523</v>
      </c>
      <c r="E47" s="14">
        <v>66.439151730000006</v>
      </c>
      <c r="F47" s="16">
        <v>2.5279384</v>
      </c>
      <c r="G47" s="14">
        <v>33.560848270000001</v>
      </c>
      <c r="H47" s="16">
        <v>2.5279384</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35.92800175</v>
      </c>
      <c r="F48" s="16">
        <v>2.2055257099999999</v>
      </c>
      <c r="G48" s="14">
        <v>64.071998249999993</v>
      </c>
      <c r="H48" s="16">
        <v>2.2055257099999999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(4660/B50*100)</f>
        <v>82.668085861273738</v>
      </c>
      <c r="D50" s="15">
        <v>977</v>
      </c>
      <c r="E50" s="14">
        <v>64.911468630000002</v>
      </c>
      <c r="F50" s="16">
        <v>1.7599754000000001</v>
      </c>
      <c r="G50" s="14">
        <v>35.088531369999998</v>
      </c>
      <c r="H50" s="16">
        <v>1.7599754000000001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(2845/B51*100)</f>
        <v>84.371293001186245</v>
      </c>
      <c r="D51" s="15">
        <v>527</v>
      </c>
      <c r="E51" s="14">
        <v>78.606763430000001</v>
      </c>
      <c r="F51" s="16">
        <v>2.2203450999999998</v>
      </c>
      <c r="G51" s="14">
        <v>21.393236569999999</v>
      </c>
      <c r="H51" s="16">
        <v>2.2203450999999998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73.519052490000007</v>
      </c>
      <c r="F52" s="16">
        <v>1.95378775</v>
      </c>
      <c r="G52" s="14">
        <v>26.48094751</v>
      </c>
      <c r="H52" s="16">
        <v>1.95378775</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60.656678800000002</v>
      </c>
      <c r="F53" s="16">
        <v>2.3170518100000002</v>
      </c>
      <c r="G53" s="14">
        <v>39.343321199999998</v>
      </c>
      <c r="H53" s="16">
        <v>2.3170518100000002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30.53296937</v>
      </c>
      <c r="F56" s="16">
        <v>2.9654409099999999</v>
      </c>
      <c r="G56" s="14">
        <v>69.467030629999996</v>
      </c>
      <c r="H56" s="16">
        <v>2.9654409099999999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66.890350569999995</v>
      </c>
      <c r="F61" s="16">
        <v>2.3847325599999998</v>
      </c>
      <c r="G61" s="14">
        <v>33.109649429999997</v>
      </c>
      <c r="H61" s="16">
        <v>2.3847325599999998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28.16753306</v>
      </c>
      <c r="F62" s="16">
        <v>2.3713965199999998</v>
      </c>
      <c r="G62" s="14">
        <v>71.832466940000003</v>
      </c>
      <c r="H62" s="16">
        <v>2.3713965199999998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79.435840350000007</v>
      </c>
      <c r="F66" s="16">
        <v>1.8666690800000001</v>
      </c>
      <c r="G66" s="14">
        <v>20.564159650000001</v>
      </c>
      <c r="H66" s="16">
        <v>1.8666690800000001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(2938/B67*100)</f>
        <v>83.679863286812875</v>
      </c>
      <c r="D67" s="15">
        <v>573</v>
      </c>
      <c r="E67" s="14">
        <v>70.65664314</v>
      </c>
      <c r="F67" s="16">
        <v>1.7913274299999999</v>
      </c>
      <c r="G67" s="14">
        <v>29.34335686</v>
      </c>
      <c r="H67" s="16">
        <v>1.7913274299999999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63.487380360000003</v>
      </c>
      <c r="F70" s="16">
        <v>2.4555121899999999</v>
      </c>
      <c r="G70" s="14">
        <v>36.512619639999997</v>
      </c>
      <c r="H70" s="16">
        <v>2.4555121899999999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37.666520060000003</v>
      </c>
      <c r="F72" s="16">
        <v>2.21875679</v>
      </c>
      <c r="G72" s="14">
        <v>62.333479939999997</v>
      </c>
      <c r="H72" s="16">
        <v>2.21875679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(2974/B73*100)</f>
        <v>82.680011120378097</v>
      </c>
      <c r="D73" s="15">
        <v>623</v>
      </c>
      <c r="E73" s="14">
        <v>42.65789101</v>
      </c>
      <c r="F73" s="16">
        <v>2.60536323</v>
      </c>
      <c r="G73" s="14">
        <v>57.34210899</v>
      </c>
      <c r="H73" s="16">
        <v>2.60536323</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80.340936290000002</v>
      </c>
      <c r="F75" s="16">
        <v>2.2016845300000001</v>
      </c>
      <c r="G75" s="14">
        <v>19.659063710000002</v>
      </c>
      <c r="H75" s="16">
        <v>2.2016845300000001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(5859/B76*100)</f>
        <v>83.082813386273401</v>
      </c>
      <c r="D76" s="15">
        <v>1193</v>
      </c>
      <c r="E76" s="14">
        <v>65.237063190000001</v>
      </c>
      <c r="F76" s="16">
        <v>1.50355448</v>
      </c>
      <c r="G76" s="14">
        <v>34.762936809999999</v>
      </c>
      <c r="H76" s="16">
        <v>1.50355448</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(2434/B77*100)</f>
        <v>83.700137551581847</v>
      </c>
      <c r="D77" s="15">
        <v>474</v>
      </c>
      <c r="E77" s="14">
        <v>60.501642869999998</v>
      </c>
      <c r="F77" s="16">
        <v>2.1954049800000002</v>
      </c>
      <c r="G77" s="14">
        <v>39.498357130000002</v>
      </c>
      <c r="H77" s="16">
        <v>2.1954049800000002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47.470620080000003</v>
      </c>
      <c r="F81" s="16">
        <v>2.31213442</v>
      </c>
      <c r="G81" s="14">
        <v>52.529379919999997</v>
      </c>
      <c r="H81" s="16">
        <v>2.31213442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(6131/B7*100)</f>
        <v>83.222478620876885</v>
      </c>
      <c r="D7" s="15">
        <v>1236</v>
      </c>
      <c r="E7" s="14">
        <v>18.61361161</v>
      </c>
      <c r="F7" s="16">
        <v>1.2941804400000001</v>
      </c>
      <c r="G7" s="14">
        <v>81.386388389999993</v>
      </c>
      <c r="H7" s="16">
        <v>1.2941804400000001</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16.85400263</v>
      </c>
      <c r="F8" s="16">
        <v>1.77962387</v>
      </c>
      <c r="G8" s="14">
        <v>83.145997370000003</v>
      </c>
      <c r="H8" s="16">
        <v>1.77962387</v>
      </c>
      <c r="I8" s="14" t="s">
        <v>139</v>
      </c>
      <c r="J8" s="16" t="s">
        <v>139</v>
      </c>
      <c r="K8" s="14">
        <v>0</v>
      </c>
      <c r="L8" s="16">
        <v>0</v>
      </c>
      <c r="M8" s="14">
        <v>0</v>
      </c>
      <c r="N8" s="16">
        <v>0</v>
      </c>
      <c r="O8" s="14">
        <v>0</v>
      </c>
      <c r="P8" s="16">
        <v>0</v>
      </c>
      <c r="Q8" s="14">
        <v>0</v>
      </c>
      <c r="R8" s="16">
        <v>0</v>
      </c>
    </row>
    <row r="9" spans="1:18" x14ac:dyDescent="0.25">
      <c r="A9" s="11" t="s">
        <v>141</v>
      </c>
      <c r="B9" s="13">
        <v>4899</v>
      </c>
      <c r="C9" s="14">
        <f>(4076/B9*100)</f>
        <v>83.200653194529494</v>
      </c>
      <c r="D9" s="15">
        <v>823</v>
      </c>
      <c r="E9" s="14">
        <v>18.56529244</v>
      </c>
      <c r="F9" s="16">
        <v>1.52913108</v>
      </c>
      <c r="G9" s="14">
        <v>81.434707560000007</v>
      </c>
      <c r="H9" s="16">
        <v>1.52913108</v>
      </c>
      <c r="I9" s="14" t="s">
        <v>139</v>
      </c>
      <c r="J9" s="16" t="s">
        <v>139</v>
      </c>
      <c r="K9" s="14">
        <v>0</v>
      </c>
      <c r="L9" s="16">
        <v>0</v>
      </c>
      <c r="M9" s="14">
        <v>0</v>
      </c>
      <c r="N9" s="16">
        <v>0</v>
      </c>
      <c r="O9" s="14">
        <v>0</v>
      </c>
      <c r="P9" s="16">
        <v>0</v>
      </c>
      <c r="Q9" s="14">
        <v>0</v>
      </c>
      <c r="R9" s="16">
        <v>0</v>
      </c>
    </row>
    <row r="10" spans="1:18" x14ac:dyDescent="0.25">
      <c r="A10" s="11" t="s">
        <v>142</v>
      </c>
      <c r="B10" s="13">
        <v>10036</v>
      </c>
      <c r="C10" s="14">
        <f>(8351/B10*100)</f>
        <v>83.210442407333602</v>
      </c>
      <c r="D10" s="15">
        <v>1685</v>
      </c>
      <c r="E10" s="14">
        <v>15.861642870000001</v>
      </c>
      <c r="F10" s="16">
        <v>1.1538404799999999</v>
      </c>
      <c r="G10" s="14">
        <v>84.138357130000003</v>
      </c>
      <c r="H10" s="16">
        <v>1.1538404799999999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28.200766890000001</v>
      </c>
      <c r="F11" s="16">
        <v>2.1602958499999998</v>
      </c>
      <c r="G11" s="14">
        <v>71.799233110000003</v>
      </c>
      <c r="H11" s="16">
        <v>2.1602958499999998</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17.10788385</v>
      </c>
      <c r="F12" s="16">
        <v>1.6493812400000001</v>
      </c>
      <c r="G12" s="14">
        <v>82.892116150000007</v>
      </c>
      <c r="H12" s="16">
        <v>1.6493812400000001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14.54399868</v>
      </c>
      <c r="F13" s="16">
        <v>2.3134914800000002</v>
      </c>
      <c r="G13" s="14">
        <v>85.456001319999999</v>
      </c>
      <c r="H13" s="16">
        <v>2.3134914800000002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11.46344846</v>
      </c>
      <c r="F14" s="16">
        <v>1.6427385699999999</v>
      </c>
      <c r="G14" s="14">
        <v>88.536551540000005</v>
      </c>
      <c r="H14" s="16">
        <v>1.6427385699999999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17.22234684</v>
      </c>
      <c r="F15" s="16">
        <v>1.8709443100000001</v>
      </c>
      <c r="G15" s="14">
        <v>82.77765316</v>
      </c>
      <c r="H15" s="16">
        <v>1.8709443100000001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24.182007550000002</v>
      </c>
      <c r="F16" s="16">
        <v>1.92698999</v>
      </c>
      <c r="G16" s="14">
        <v>75.817992450000006</v>
      </c>
      <c r="H16" s="16">
        <v>1.92698999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15.185154170000001</v>
      </c>
      <c r="F17" s="16">
        <v>1.8673491900000001</v>
      </c>
      <c r="G17" s="14">
        <v>84.814845829999996</v>
      </c>
      <c r="H17" s="16">
        <v>1.8673491900000001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25.182554270000001</v>
      </c>
      <c r="F18" s="16">
        <v>2.3519765499999998</v>
      </c>
      <c r="G18" s="14">
        <v>74.817445730000003</v>
      </c>
      <c r="H18" s="16">
        <v>2.3519765499999998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(2325/B19*100)</f>
        <v>82.799145299145295</v>
      </c>
      <c r="D19" s="15">
        <v>483</v>
      </c>
      <c r="E19" s="14">
        <v>29.181506500000001</v>
      </c>
      <c r="F19" s="16">
        <v>2.4883864099999999</v>
      </c>
      <c r="G19" s="14">
        <v>70.818493500000002</v>
      </c>
      <c r="H19" s="16">
        <v>2.4883864099999999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23.085126240000001</v>
      </c>
      <c r="F20" s="16">
        <v>2.8242976</v>
      </c>
      <c r="G20" s="14">
        <v>76.914873760000006</v>
      </c>
      <c r="H20" s="16">
        <v>2.8242976</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(2438/B22*100)</f>
        <v>83.179802115319006</v>
      </c>
      <c r="D22" s="15">
        <v>493</v>
      </c>
      <c r="E22" s="14">
        <v>20.447966409999999</v>
      </c>
      <c r="F22" s="16">
        <v>1.8660387300000001</v>
      </c>
      <c r="G22" s="14">
        <v>79.552033589999994</v>
      </c>
      <c r="H22" s="16">
        <v>1.8660387300000001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24.830529649999999</v>
      </c>
      <c r="F23" s="16">
        <v>1.962345</v>
      </c>
      <c r="G23" s="14">
        <v>75.169470349999997</v>
      </c>
      <c r="H23" s="16">
        <v>1.962345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25.067415839999999</v>
      </c>
      <c r="F24" s="16">
        <v>1.98623773</v>
      </c>
      <c r="G24" s="14">
        <v>74.932584160000005</v>
      </c>
      <c r="H24" s="16">
        <v>1.98623773</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16.035317899999999</v>
      </c>
      <c r="F25" s="16">
        <v>1.5693493199999999</v>
      </c>
      <c r="G25" s="14">
        <v>83.964682100000005</v>
      </c>
      <c r="H25" s="16">
        <v>1.5693493199999999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24.925363839999999</v>
      </c>
      <c r="F26" s="16">
        <v>2.04579836</v>
      </c>
      <c r="G26" s="14">
        <v>75.074636159999997</v>
      </c>
      <c r="H26" s="16">
        <v>2.04579836</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21.72894513</v>
      </c>
      <c r="F27" s="16">
        <v>2.0035680999999999</v>
      </c>
      <c r="G27" s="14">
        <v>78.27105487</v>
      </c>
      <c r="H27" s="16">
        <v>2.0035680999999999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(3119/B28*100)</f>
        <v>82.841965471447537</v>
      </c>
      <c r="D28" s="15">
        <v>646</v>
      </c>
      <c r="E28" s="14">
        <v>30.021426129999998</v>
      </c>
      <c r="F28" s="16">
        <v>2.15942115</v>
      </c>
      <c r="G28" s="14">
        <v>69.978573870000005</v>
      </c>
      <c r="H28" s="16">
        <v>2.15942115</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21.152740399999999</v>
      </c>
      <c r="F29" s="16">
        <v>1.7855355500000001</v>
      </c>
      <c r="G29" s="14">
        <v>78.847259600000001</v>
      </c>
      <c r="H29" s="16">
        <v>1.7855355500000001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19.99088038</v>
      </c>
      <c r="F30" s="16">
        <v>2.3737980099999998</v>
      </c>
      <c r="G30" s="14">
        <v>80.009119620000007</v>
      </c>
      <c r="H30" s="16">
        <v>2.3737980099999998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(2292/B31*100)</f>
        <v>83.345454545454544</v>
      </c>
      <c r="D31" s="15">
        <v>458</v>
      </c>
      <c r="E31" s="14">
        <v>15.935815590000001</v>
      </c>
      <c r="F31" s="16">
        <v>1.9059516700000001</v>
      </c>
      <c r="G31" s="14">
        <v>84.064184409999996</v>
      </c>
      <c r="H31" s="16">
        <v>1.9059516700000001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16.55580118</v>
      </c>
      <c r="F33" s="16">
        <v>1.6536676299999999</v>
      </c>
      <c r="G33" s="14">
        <v>83.444198819999997</v>
      </c>
      <c r="H33" s="16">
        <v>1.6536676299999999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26.99205152</v>
      </c>
      <c r="F34" s="16">
        <v>2.0879001700000002</v>
      </c>
      <c r="G34" s="14">
        <v>73.007948479999996</v>
      </c>
      <c r="H34" s="16">
        <v>2.0879001700000002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18.098010200000001</v>
      </c>
      <c r="F35" s="16">
        <v>2.1385248300000002</v>
      </c>
      <c r="G35" s="14">
        <v>81.901989799999996</v>
      </c>
      <c r="H35" s="16">
        <v>2.1385248300000002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24.854415500000002</v>
      </c>
      <c r="F36" s="16">
        <v>1.9460369900000001</v>
      </c>
      <c r="G36" s="14">
        <v>75.145584499999998</v>
      </c>
      <c r="H36" s="16">
        <v>1.9460369900000001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19.778085269999998</v>
      </c>
      <c r="F37" s="16">
        <v>2.2616575499999998</v>
      </c>
      <c r="G37" s="14">
        <v>80.221914729999995</v>
      </c>
      <c r="H37" s="16">
        <v>2.2616575499999998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41.187483010000001</v>
      </c>
      <c r="F39" s="16">
        <v>2.3408876599999999</v>
      </c>
      <c r="G39" s="14">
        <v>58.812516989999999</v>
      </c>
      <c r="H39" s="16">
        <v>2.3408876599999999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16.834661950000001</v>
      </c>
      <c r="F40" s="16">
        <v>1.78292871</v>
      </c>
      <c r="G40" s="14">
        <v>83.165338050000003</v>
      </c>
      <c r="H40" s="16">
        <v>1.78292871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22.62974882</v>
      </c>
      <c r="F41" s="16">
        <v>3.2705454999999999</v>
      </c>
      <c r="G41" s="14">
        <v>77.370251179999997</v>
      </c>
      <c r="H41" s="16">
        <v>3.2705454999999999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83.118303880024627</v>
      </c>
      <c r="D42" s="15">
        <f>IF(COUNT(D7:D41) &gt; 0, AVERAGE(D7:D41), "—")</f>
        <v>617.375</v>
      </c>
      <c r="E42" s="14">
        <f>IF(COUNT(E7:E41) &gt; 0, AVERAGE(E7:E41), "—")</f>
        <v>21.322375053750005</v>
      </c>
      <c r="F42" s="16">
        <f>IF(COUNT(F7:F41) &gt; 0, SQRT(SUMSQ(F7:F41)/(COUNT(F7:F41)*COUNT(F7:F41)) ), "—")</f>
        <v>0.36084573968597594</v>
      </c>
      <c r="G42" s="14">
        <f>IF(COUNT(G7:G41) &gt; 0, AVERAGE(G7:G41), "—")</f>
        <v>78.67762494625002</v>
      </c>
      <c r="H42" s="16">
        <f>IF(COUNT(H7:H41) &gt; 0, SQRT(SUMSQ(H7:H41)/(COUNT(H7:H41)*COUNT(H7:H41)) ), "—")</f>
        <v>0.36084573968597594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(9327/B46*100)</f>
        <v>84.269967473798332</v>
      </c>
      <c r="D46" s="15">
        <v>1741</v>
      </c>
      <c r="E46" s="14">
        <v>41.000488130000001</v>
      </c>
      <c r="F46" s="16">
        <v>1.6956053499999999</v>
      </c>
      <c r="G46" s="14">
        <v>58.999511869999999</v>
      </c>
      <c r="H46" s="16">
        <v>1.6956053499999999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(2582/B47*100)</f>
        <v>83.156199677938815</v>
      </c>
      <c r="D47" s="15">
        <v>523</v>
      </c>
      <c r="E47" s="14">
        <v>29.349141549999999</v>
      </c>
      <c r="F47" s="16">
        <v>2.0284677800000002</v>
      </c>
      <c r="G47" s="14">
        <v>70.650858450000001</v>
      </c>
      <c r="H47" s="16">
        <v>2.0284677800000002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26.226432490000001</v>
      </c>
      <c r="F48" s="16">
        <v>1.8069278099999999</v>
      </c>
      <c r="G48" s="14">
        <v>73.773567510000007</v>
      </c>
      <c r="H48" s="16">
        <v>1.8069278099999999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(4660/B50*100)</f>
        <v>82.668085861273738</v>
      </c>
      <c r="D50" s="15">
        <v>977</v>
      </c>
      <c r="E50" s="14">
        <v>31.89925869</v>
      </c>
      <c r="F50" s="16">
        <v>1.96186328</v>
      </c>
      <c r="G50" s="14">
        <v>68.100741310000004</v>
      </c>
      <c r="H50" s="16">
        <v>1.96186328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(2845/B51*100)</f>
        <v>84.371293001186245</v>
      </c>
      <c r="D51" s="15">
        <v>527</v>
      </c>
      <c r="E51" s="14">
        <v>25.419475380000002</v>
      </c>
      <c r="F51" s="16">
        <v>1.82210169</v>
      </c>
      <c r="G51" s="14">
        <v>74.580524620000006</v>
      </c>
      <c r="H51" s="16">
        <v>1.82210169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16.982708469999999</v>
      </c>
      <c r="F52" s="16">
        <v>1.4962445900000001</v>
      </c>
      <c r="G52" s="14">
        <v>83.017291529999994</v>
      </c>
      <c r="H52" s="16">
        <v>1.4962445900000001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31.2422328</v>
      </c>
      <c r="F53" s="16">
        <v>2.00358926</v>
      </c>
      <c r="G53" s="14">
        <v>68.757767200000004</v>
      </c>
      <c r="H53" s="16">
        <v>2.00358926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25.230259950000001</v>
      </c>
      <c r="F56" s="16">
        <v>2.6510543599999998</v>
      </c>
      <c r="G56" s="14">
        <v>74.769740049999996</v>
      </c>
      <c r="H56" s="16">
        <v>2.6510543599999998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21.32056725</v>
      </c>
      <c r="F61" s="16">
        <v>2.3054629200000001</v>
      </c>
      <c r="G61" s="14">
        <v>78.679432750000004</v>
      </c>
      <c r="H61" s="16">
        <v>2.3054629200000001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22.648934650000001</v>
      </c>
      <c r="F62" s="16">
        <v>2.13050512</v>
      </c>
      <c r="G62" s="14">
        <v>77.351065349999999</v>
      </c>
      <c r="H62" s="16">
        <v>2.13050512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30.049415410000002</v>
      </c>
      <c r="F66" s="16">
        <v>2.4555609199999999</v>
      </c>
      <c r="G66" s="14">
        <v>69.950584590000005</v>
      </c>
      <c r="H66" s="16">
        <v>2.4555609199999999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(2938/B67*100)</f>
        <v>83.679863286812875</v>
      </c>
      <c r="D67" s="15">
        <v>573</v>
      </c>
      <c r="E67" s="14">
        <v>39.814393099999997</v>
      </c>
      <c r="F67" s="16">
        <v>1.8966997000000001</v>
      </c>
      <c r="G67" s="14">
        <v>60.185606900000003</v>
      </c>
      <c r="H67" s="16">
        <v>1.8966997000000001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17.420685450000001</v>
      </c>
      <c r="F70" s="16">
        <v>1.5522020999999999</v>
      </c>
      <c r="G70" s="14">
        <v>82.579314550000007</v>
      </c>
      <c r="H70" s="16">
        <v>1.5522020999999999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15.53678371</v>
      </c>
      <c r="F72" s="16">
        <v>1.61577259</v>
      </c>
      <c r="G72" s="14">
        <v>84.463216290000005</v>
      </c>
      <c r="H72" s="16">
        <v>1.61577259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(2974/B73*100)</f>
        <v>82.680011120378097</v>
      </c>
      <c r="D73" s="15">
        <v>623</v>
      </c>
      <c r="E73" s="14">
        <v>46.48169798</v>
      </c>
      <c r="F73" s="16">
        <v>2.34444732</v>
      </c>
      <c r="G73" s="14">
        <v>53.51830202</v>
      </c>
      <c r="H73" s="16">
        <v>2.34444732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36.272898169999998</v>
      </c>
      <c r="F75" s="16">
        <v>2.51187687</v>
      </c>
      <c r="G75" s="14">
        <v>63.727101830000002</v>
      </c>
      <c r="H75" s="16">
        <v>2.51187687</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(5859/B76*100)</f>
        <v>83.082813386273401</v>
      </c>
      <c r="D76" s="15">
        <v>1193</v>
      </c>
      <c r="E76" s="14">
        <v>37.472937950000002</v>
      </c>
      <c r="F76" s="16">
        <v>1.70508233</v>
      </c>
      <c r="G76" s="14">
        <v>62.527062049999998</v>
      </c>
      <c r="H76" s="16">
        <v>1.70508233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(2434/B77*100)</f>
        <v>83.700137551581847</v>
      </c>
      <c r="D77" s="15">
        <v>474</v>
      </c>
      <c r="E77" s="14">
        <v>30.94793967</v>
      </c>
      <c r="F77" s="16">
        <v>2.2609882799999999</v>
      </c>
      <c r="G77" s="14">
        <v>69.052060330000003</v>
      </c>
      <c r="H77" s="16">
        <v>2.2609882799999999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39.285143609999999</v>
      </c>
      <c r="F81" s="16">
        <v>2.5032118099999998</v>
      </c>
      <c r="G81" s="14">
        <v>60.714856390000001</v>
      </c>
      <c r="H81" s="16">
        <v>2.5032118099999998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(6131/B7*100)</f>
        <v>83.222478620876885</v>
      </c>
      <c r="D7" s="15">
        <v>1236</v>
      </c>
      <c r="E7" s="14">
        <v>37.883369799999997</v>
      </c>
      <c r="F7" s="16">
        <v>1.38202629</v>
      </c>
      <c r="G7" s="14">
        <v>62.116630200000003</v>
      </c>
      <c r="H7" s="16">
        <v>1.38202629</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46.988453630000002</v>
      </c>
      <c r="F8" s="16">
        <v>2.4172768699999998</v>
      </c>
      <c r="G8" s="14">
        <v>53.011546369999998</v>
      </c>
      <c r="H8" s="16">
        <v>2.4172768699999998</v>
      </c>
      <c r="I8" s="14" t="s">
        <v>139</v>
      </c>
      <c r="J8" s="16" t="s">
        <v>139</v>
      </c>
      <c r="K8" s="14">
        <v>0</v>
      </c>
      <c r="L8" s="16">
        <v>0</v>
      </c>
      <c r="M8" s="14">
        <v>0</v>
      </c>
      <c r="N8" s="16">
        <v>0</v>
      </c>
      <c r="O8" s="14">
        <v>0</v>
      </c>
      <c r="P8" s="16">
        <v>0</v>
      </c>
      <c r="Q8" s="14">
        <v>0</v>
      </c>
      <c r="R8" s="16">
        <v>0</v>
      </c>
    </row>
    <row r="9" spans="1:18" x14ac:dyDescent="0.25">
      <c r="A9" s="11" t="s">
        <v>141</v>
      </c>
      <c r="B9" s="13">
        <v>4899</v>
      </c>
      <c r="C9" s="14">
        <f>(4076/B9*100)</f>
        <v>83.200653194529494</v>
      </c>
      <c r="D9" s="15">
        <v>823</v>
      </c>
      <c r="E9" s="14">
        <v>43.662604639999998</v>
      </c>
      <c r="F9" s="16">
        <v>1.8123485500000001</v>
      </c>
      <c r="G9" s="14">
        <v>56.337395360000002</v>
      </c>
      <c r="H9" s="16">
        <v>1.8123485500000001</v>
      </c>
      <c r="I9" s="14" t="s">
        <v>139</v>
      </c>
      <c r="J9" s="16" t="s">
        <v>139</v>
      </c>
      <c r="K9" s="14">
        <v>0</v>
      </c>
      <c r="L9" s="16">
        <v>0</v>
      </c>
      <c r="M9" s="14">
        <v>0</v>
      </c>
      <c r="N9" s="16">
        <v>0</v>
      </c>
      <c r="O9" s="14">
        <v>0</v>
      </c>
      <c r="P9" s="16">
        <v>0</v>
      </c>
      <c r="Q9" s="14">
        <v>0</v>
      </c>
      <c r="R9" s="16">
        <v>0</v>
      </c>
    </row>
    <row r="10" spans="1:18" x14ac:dyDescent="0.25">
      <c r="A10" s="11" t="s">
        <v>142</v>
      </c>
      <c r="B10" s="13">
        <v>10036</v>
      </c>
      <c r="C10" s="14">
        <f>(8351/B10*100)</f>
        <v>83.210442407333602</v>
      </c>
      <c r="D10" s="15">
        <v>1685</v>
      </c>
      <c r="E10" s="14">
        <v>36.940353979999998</v>
      </c>
      <c r="F10" s="16">
        <v>1.9292738300000001</v>
      </c>
      <c r="G10" s="14">
        <v>63.059646020000002</v>
      </c>
      <c r="H10" s="16">
        <v>1.9292738300000001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54.627096969999997</v>
      </c>
      <c r="F11" s="16">
        <v>2.4007436900000001</v>
      </c>
      <c r="G11" s="14">
        <v>45.372903030000003</v>
      </c>
      <c r="H11" s="16">
        <v>2.4007436900000001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36.450054160000001</v>
      </c>
      <c r="F12" s="16">
        <v>1.9438616</v>
      </c>
      <c r="G12" s="14">
        <v>63.549945839999999</v>
      </c>
      <c r="H12" s="16">
        <v>1.9438616</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29.538320909999999</v>
      </c>
      <c r="F13" s="16">
        <v>2.4744095499999998</v>
      </c>
      <c r="G13" s="14">
        <v>70.461679090000004</v>
      </c>
      <c r="H13" s="16">
        <v>2.4744095499999998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43.645923260000004</v>
      </c>
      <c r="F14" s="16">
        <v>2.4677825499999999</v>
      </c>
      <c r="G14" s="14">
        <v>56.354076739999996</v>
      </c>
      <c r="H14" s="16">
        <v>2.4677825499999999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(2505/B15*100)</f>
        <v>82.974494865849621</v>
      </c>
      <c r="D15" s="15">
        <v>514</v>
      </c>
      <c r="E15" s="14">
        <v>41.584774230000001</v>
      </c>
      <c r="F15" s="16">
        <v>1.9002351</v>
      </c>
      <c r="G15" s="14">
        <v>58.415225769999999</v>
      </c>
      <c r="H15" s="16">
        <v>1.9002351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47.995516279999997</v>
      </c>
      <c r="F16" s="16">
        <v>2.46837945</v>
      </c>
      <c r="G16" s="14">
        <v>52.004483720000003</v>
      </c>
      <c r="H16" s="16">
        <v>2.46837945</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48.236577750000002</v>
      </c>
      <c r="F17" s="16">
        <v>2.5794939000000001</v>
      </c>
      <c r="G17" s="14">
        <v>51.763422249999998</v>
      </c>
      <c r="H17" s="16">
        <v>2.5794939000000001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46.193377759999997</v>
      </c>
      <c r="F18" s="16">
        <v>2.6257395300000002</v>
      </c>
      <c r="G18" s="14">
        <v>53.806622240000003</v>
      </c>
      <c r="H18" s="16">
        <v>2.6257395300000002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(2325/B19*100)</f>
        <v>82.799145299145295</v>
      </c>
      <c r="D19" s="15">
        <v>483</v>
      </c>
      <c r="E19" s="14">
        <v>46.3668932</v>
      </c>
      <c r="F19" s="16">
        <v>2.48239367</v>
      </c>
      <c r="G19" s="14">
        <v>53.6331068</v>
      </c>
      <c r="H19" s="16">
        <v>2.48239367</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31.59492483</v>
      </c>
      <c r="F20" s="16">
        <v>2.9663640999999998</v>
      </c>
      <c r="G20" s="14">
        <v>68.405075170000003</v>
      </c>
      <c r="H20" s="16">
        <v>2.9663640999999998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(2438/B22*100)</f>
        <v>83.179802115319006</v>
      </c>
      <c r="D22" s="15">
        <v>493</v>
      </c>
      <c r="E22" s="14">
        <v>42.066456979999998</v>
      </c>
      <c r="F22" s="16">
        <v>2.7072309899999998</v>
      </c>
      <c r="G22" s="14">
        <v>57.933543020000002</v>
      </c>
      <c r="H22" s="16">
        <v>2.7072309899999998</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42.341914699999997</v>
      </c>
      <c r="F23" s="16">
        <v>1.86223469</v>
      </c>
      <c r="G23" s="14">
        <v>57.658085300000003</v>
      </c>
      <c r="H23" s="16">
        <v>1.86223469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30.46873931</v>
      </c>
      <c r="F24" s="16">
        <v>1.5902432</v>
      </c>
      <c r="G24" s="14">
        <v>69.531260689999996</v>
      </c>
      <c r="H24" s="16">
        <v>1.5902432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37.031458979999996</v>
      </c>
      <c r="F25" s="16">
        <v>2.4344967</v>
      </c>
      <c r="G25" s="14">
        <v>62.968541020000004</v>
      </c>
      <c r="H25" s="16">
        <v>2.4344967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(2042/B26*100)</f>
        <v>83.34693877551021</v>
      </c>
      <c r="D26" s="15">
        <v>408</v>
      </c>
      <c r="E26" s="14">
        <v>42.247825839999997</v>
      </c>
      <c r="F26" s="16">
        <v>2.7495531899999999</v>
      </c>
      <c r="G26" s="14">
        <v>57.752174160000003</v>
      </c>
      <c r="H26" s="16">
        <v>2.7495531899999999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41.483459199999999</v>
      </c>
      <c r="F27" s="16">
        <v>2.33842018</v>
      </c>
      <c r="G27" s="14">
        <v>58.516540800000001</v>
      </c>
      <c r="H27" s="16">
        <v>2.33842018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(3119/B28*100)</f>
        <v>82.841965471447537</v>
      </c>
      <c r="D28" s="15">
        <v>646</v>
      </c>
      <c r="E28" s="14">
        <v>57.979304880000001</v>
      </c>
      <c r="F28" s="16">
        <v>2.0147543899999998</v>
      </c>
      <c r="G28" s="14">
        <v>42.020695119999999</v>
      </c>
      <c r="H28" s="16">
        <v>2.0147543899999998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43.015079049999997</v>
      </c>
      <c r="F29" s="16">
        <v>2.1923737000000001</v>
      </c>
      <c r="G29" s="14">
        <v>56.984920950000003</v>
      </c>
      <c r="H29" s="16">
        <v>2.1923737000000001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39.771554029999997</v>
      </c>
      <c r="F30" s="16">
        <v>2.1897562399999999</v>
      </c>
      <c r="G30" s="14">
        <v>60.228445970000003</v>
      </c>
      <c r="H30" s="16">
        <v>2.1897562399999999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(2292/B31*100)</f>
        <v>83.345454545454544</v>
      </c>
      <c r="D31" s="15">
        <v>458</v>
      </c>
      <c r="E31" s="14">
        <v>33.212573679999998</v>
      </c>
      <c r="F31" s="16">
        <v>2.2929202499999999</v>
      </c>
      <c r="G31" s="14">
        <v>66.787426319999994</v>
      </c>
      <c r="H31" s="16">
        <v>2.2929202499999999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(3051/B33*100)</f>
        <v>83.043004899292328</v>
      </c>
      <c r="D33" s="15">
        <v>623</v>
      </c>
      <c r="E33" s="14">
        <v>46.466225889999997</v>
      </c>
      <c r="F33" s="16">
        <v>2.0610346399999999</v>
      </c>
      <c r="G33" s="14">
        <v>53.533774110000003</v>
      </c>
      <c r="H33" s="16">
        <v>2.0610346399999999</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42.023580760000002</v>
      </c>
      <c r="F34" s="16">
        <v>2.1138906799999999</v>
      </c>
      <c r="G34" s="14">
        <v>57.976419239999998</v>
      </c>
      <c r="H34" s="16">
        <v>2.1138906799999999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33.21394686</v>
      </c>
      <c r="F35" s="16">
        <v>2.2037139899999998</v>
      </c>
      <c r="G35" s="14">
        <v>66.786053140000007</v>
      </c>
      <c r="H35" s="16">
        <v>2.2037139899999998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(2747/B36*100)</f>
        <v>82.442977190876348</v>
      </c>
      <c r="D36" s="15">
        <v>585</v>
      </c>
      <c r="E36" s="14">
        <v>42.916741700000003</v>
      </c>
      <c r="F36" s="16">
        <v>1.98688201</v>
      </c>
      <c r="G36" s="14">
        <v>57.083258299999997</v>
      </c>
      <c r="H36" s="16">
        <v>1.98688201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34.6208825</v>
      </c>
      <c r="F37" s="16">
        <v>2.26215886</v>
      </c>
      <c r="G37" s="14">
        <v>65.379117500000007</v>
      </c>
      <c r="H37" s="16">
        <v>2.26215886</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76.830887189999999</v>
      </c>
      <c r="F39" s="16">
        <v>2.2307478299999999</v>
      </c>
      <c r="G39" s="14">
        <v>23.169112810000001</v>
      </c>
      <c r="H39" s="16">
        <v>2.2307478299999999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(6001/B40*100)</f>
        <v>82.944022114720113</v>
      </c>
      <c r="D40" s="15">
        <v>1234</v>
      </c>
      <c r="E40" s="14">
        <v>46.815897960000001</v>
      </c>
      <c r="F40" s="16">
        <v>2.8588264699999999</v>
      </c>
      <c r="G40" s="14">
        <v>53.184102039999999</v>
      </c>
      <c r="H40" s="16">
        <v>2.8588264699999999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39.922661560000002</v>
      </c>
      <c r="F41" s="16">
        <v>1.9296881800000001</v>
      </c>
      <c r="G41" s="14">
        <v>60.077338439999998</v>
      </c>
      <c r="H41" s="16">
        <v>1.9296881800000001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83.118303880024627</v>
      </c>
      <c r="D42" s="15">
        <f>IF(COUNT(D7:D41) &gt; 0, AVERAGE(D7:D41), "—")</f>
        <v>617.375</v>
      </c>
      <c r="E42" s="14">
        <f>IF(COUNT(E7:E41) &gt; 0, AVERAGE(E7:E41), "—")</f>
        <v>42.629294764687508</v>
      </c>
      <c r="F42" s="16">
        <f>IF(COUNT(F7:F41) &gt; 0, SQRT(SUMSQ(F7:F41)/(COUNT(F7:F41)*COUNT(F7:F41)) ), "—")</f>
        <v>0.40194624099242027</v>
      </c>
      <c r="G42" s="14">
        <f>IF(COUNT(G7:G41) &gt; 0, AVERAGE(G7:G41), "—")</f>
        <v>57.370705235312506</v>
      </c>
      <c r="H42" s="16">
        <f>IF(COUNT(H7:H41) &gt; 0, SQRT(SUMSQ(H7:H41)/(COUNT(H7:H41)*COUNT(H7:H41)) ), "—")</f>
        <v>0.40194624099242027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(9327/B46*100)</f>
        <v>84.269967473798332</v>
      </c>
      <c r="D46" s="15">
        <v>1741</v>
      </c>
      <c r="E46" s="14">
        <v>55.979334260000002</v>
      </c>
      <c r="F46" s="16">
        <v>1.6674985099999999</v>
      </c>
      <c r="G46" s="14">
        <v>44.020665739999998</v>
      </c>
      <c r="H46" s="16">
        <v>1.6674985099999999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(2582/B47*100)</f>
        <v>83.156199677938815</v>
      </c>
      <c r="D47" s="15">
        <v>523</v>
      </c>
      <c r="E47" s="14">
        <v>45.762967799999998</v>
      </c>
      <c r="F47" s="16">
        <v>2.3657549000000002</v>
      </c>
      <c r="G47" s="14">
        <v>54.237032200000002</v>
      </c>
      <c r="H47" s="16">
        <v>2.3657549000000002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61.03811383</v>
      </c>
      <c r="F48" s="16">
        <v>2.2399521400000002</v>
      </c>
      <c r="G48" s="14">
        <v>38.96188617</v>
      </c>
      <c r="H48" s="16">
        <v>2.2399521400000002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(4660/B50*100)</f>
        <v>82.668085861273738</v>
      </c>
      <c r="D50" s="15">
        <v>977</v>
      </c>
      <c r="E50" s="14">
        <v>57.898851090000001</v>
      </c>
      <c r="F50" s="16">
        <v>2.0323906300000001</v>
      </c>
      <c r="G50" s="14">
        <v>42.101148909999999</v>
      </c>
      <c r="H50" s="16">
        <v>2.0323906300000001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(2845/B51*100)</f>
        <v>84.371293001186245</v>
      </c>
      <c r="D51" s="15">
        <v>527</v>
      </c>
      <c r="E51" s="14">
        <v>43.818525270000002</v>
      </c>
      <c r="F51" s="16">
        <v>2.2976343199999998</v>
      </c>
      <c r="G51" s="14">
        <v>56.181474729999998</v>
      </c>
      <c r="H51" s="16">
        <v>2.2976343199999998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41.088701710000002</v>
      </c>
      <c r="F52" s="16">
        <v>2.3070969200000002</v>
      </c>
      <c r="G52" s="14">
        <v>58.911298289999998</v>
      </c>
      <c r="H52" s="16">
        <v>2.3070969200000002</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(2332/B53*100)</f>
        <v>82.959800782639633</v>
      </c>
      <c r="D53" s="15">
        <v>479</v>
      </c>
      <c r="E53" s="14">
        <v>52.07485621</v>
      </c>
      <c r="F53" s="16">
        <v>2.2142589099999999</v>
      </c>
      <c r="G53" s="14">
        <v>47.92514379</v>
      </c>
      <c r="H53" s="16">
        <v>2.2142589099999999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57.976398240000002</v>
      </c>
      <c r="F56" s="16">
        <v>2.1314929</v>
      </c>
      <c r="G56" s="14">
        <v>42.023601759999998</v>
      </c>
      <c r="H56" s="16">
        <v>2.1314929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48.486015899999998</v>
      </c>
      <c r="F61" s="16">
        <v>2.09010323</v>
      </c>
      <c r="G61" s="14">
        <v>51.513984100000002</v>
      </c>
      <c r="H61" s="16">
        <v>2.09010323</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65.669096469999999</v>
      </c>
      <c r="F62" s="16">
        <v>2.5039526400000001</v>
      </c>
      <c r="G62" s="14">
        <v>34.330903530000001</v>
      </c>
      <c r="H62" s="16">
        <v>2.5039526400000001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(2429/B66*100)</f>
        <v>83.93227366966137</v>
      </c>
      <c r="D66" s="15">
        <v>465</v>
      </c>
      <c r="E66" s="14">
        <v>44.825643390000003</v>
      </c>
      <c r="F66" s="16">
        <v>1.99555243</v>
      </c>
      <c r="G66" s="14">
        <v>55.174356609999997</v>
      </c>
      <c r="H66" s="16">
        <v>1.99555243</v>
      </c>
      <c r="I66" s="14" t="s">
        <v>139</v>
      </c>
      <c r="J66" s="16" t="s">
        <v>139</v>
      </c>
      <c r="K66" s="14">
        <v>0</v>
      </c>
      <c r="L66" s="16">
        <v>0</v>
      </c>
      <c r="M66" s="14">
        <v>0</v>
      </c>
      <c r="N66" s="16">
        <v>0</v>
      </c>
      <c r="O66" s="14">
        <v>0</v>
      </c>
      <c r="P66" s="16">
        <v>0</v>
      </c>
      <c r="Q66" s="14">
        <v>0</v>
      </c>
      <c r="R66" s="16">
        <v>0</v>
      </c>
    </row>
    <row r="67" spans="1:18" x14ac:dyDescent="0.25">
      <c r="A67" s="11" t="s">
        <v>200</v>
      </c>
      <c r="B67" s="13">
        <v>3511</v>
      </c>
      <c r="C67" s="14">
        <f>(2938/B67*100)</f>
        <v>83.679863286812875</v>
      </c>
      <c r="D67" s="15">
        <v>573</v>
      </c>
      <c r="E67" s="14">
        <v>58.991727079999997</v>
      </c>
      <c r="F67" s="16">
        <v>2.1132634100000001</v>
      </c>
      <c r="G67" s="14">
        <v>41.008272920000003</v>
      </c>
      <c r="H67" s="16">
        <v>2.1132634100000001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44.001784999999998</v>
      </c>
      <c r="F70" s="16">
        <v>2.65978469</v>
      </c>
      <c r="G70" s="14">
        <v>55.998215000000002</v>
      </c>
      <c r="H70" s="16">
        <v>2.65978469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45.834564380000003</v>
      </c>
      <c r="F72" s="16">
        <v>2.1389309999999999</v>
      </c>
      <c r="G72" s="14">
        <v>54.165435619999997</v>
      </c>
      <c r="H72" s="16">
        <v>2.1389309999999999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(2974/B73*100)</f>
        <v>82.680011120378097</v>
      </c>
      <c r="D73" s="15">
        <v>623</v>
      </c>
      <c r="E73" s="14">
        <v>73.124584740000003</v>
      </c>
      <c r="F73" s="16">
        <v>2.0042641300000001</v>
      </c>
      <c r="G73" s="14">
        <v>26.87541526</v>
      </c>
      <c r="H73" s="16">
        <v>2.0042641300000001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(2022/B75*100)</f>
        <v>84.039900249376558</v>
      </c>
      <c r="D75" s="15">
        <v>384</v>
      </c>
      <c r="E75" s="14">
        <v>71.947809829999997</v>
      </c>
      <c r="F75" s="16">
        <v>2.9175273000000002</v>
      </c>
      <c r="G75" s="14">
        <v>28.052190169999999</v>
      </c>
      <c r="H75" s="16">
        <v>2.9175273000000002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(5859/B76*100)</f>
        <v>83.082813386273401</v>
      </c>
      <c r="D76" s="15">
        <v>1193</v>
      </c>
      <c r="E76" s="14">
        <v>58.041398790000002</v>
      </c>
      <c r="F76" s="16">
        <v>1.5821036799999999</v>
      </c>
      <c r="G76" s="14">
        <v>41.958601209999998</v>
      </c>
      <c r="H76" s="16">
        <v>1.5821036799999999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(2434/B77*100)</f>
        <v>83.700137551581847</v>
      </c>
      <c r="D77" s="15">
        <v>474</v>
      </c>
      <c r="E77" s="14">
        <v>45.125850079999999</v>
      </c>
      <c r="F77" s="16">
        <v>2.2702287700000001</v>
      </c>
      <c r="G77" s="14">
        <v>54.874149920000001</v>
      </c>
      <c r="H77" s="16">
        <v>2.2702287700000001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50.658270969999997</v>
      </c>
      <c r="F81" s="16">
        <v>2.2517673399999998</v>
      </c>
      <c r="G81" s="14">
        <v>49.341729030000003</v>
      </c>
      <c r="H81" s="16">
        <v>2.2517673399999998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(6132/B7*100)</f>
        <v>83.236052667300115</v>
      </c>
      <c r="D7" s="15">
        <v>1235</v>
      </c>
      <c r="E7" s="14">
        <v>16.981130440000001</v>
      </c>
      <c r="F7" s="16">
        <v>1.3218330300000001</v>
      </c>
      <c r="G7" s="14">
        <v>83.018869559999999</v>
      </c>
      <c r="H7" s="16">
        <v>1.3218330300000001</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19.049636679999999</v>
      </c>
      <c r="F8" s="16">
        <v>2.0915073099999999</v>
      </c>
      <c r="G8" s="14">
        <v>80.950363319999994</v>
      </c>
      <c r="H8" s="16">
        <v>2.0915073099999999</v>
      </c>
      <c r="I8" s="14" t="s">
        <v>139</v>
      </c>
      <c r="J8" s="16" t="s">
        <v>139</v>
      </c>
      <c r="K8" s="14">
        <v>0</v>
      </c>
      <c r="L8" s="16">
        <v>0</v>
      </c>
      <c r="M8" s="14">
        <v>0</v>
      </c>
      <c r="N8" s="16">
        <v>0</v>
      </c>
      <c r="O8" s="14">
        <v>0</v>
      </c>
      <c r="P8" s="16">
        <v>0</v>
      </c>
      <c r="Q8" s="14">
        <v>0</v>
      </c>
      <c r="R8" s="16">
        <v>0</v>
      </c>
    </row>
    <row r="9" spans="1:18" x14ac:dyDescent="0.25">
      <c r="A9" s="11" t="s">
        <v>141</v>
      </c>
      <c r="B9" s="13">
        <v>4899</v>
      </c>
      <c r="C9" s="14">
        <f>(4077/B9*100)</f>
        <v>83.221065523576243</v>
      </c>
      <c r="D9" s="15">
        <v>822</v>
      </c>
      <c r="E9" s="14">
        <v>17.90532031</v>
      </c>
      <c r="F9" s="16">
        <v>1.2510307700000001</v>
      </c>
      <c r="G9" s="14">
        <v>82.094679690000007</v>
      </c>
      <c r="H9" s="16">
        <v>1.2510307700000001</v>
      </c>
      <c r="I9" s="14" t="s">
        <v>139</v>
      </c>
      <c r="J9" s="16" t="s">
        <v>139</v>
      </c>
      <c r="K9" s="14">
        <v>0</v>
      </c>
      <c r="L9" s="16">
        <v>0</v>
      </c>
      <c r="M9" s="14">
        <v>0</v>
      </c>
      <c r="N9" s="16">
        <v>0</v>
      </c>
      <c r="O9" s="14">
        <v>0</v>
      </c>
      <c r="P9" s="16">
        <v>0</v>
      </c>
      <c r="Q9" s="14">
        <v>0</v>
      </c>
      <c r="R9" s="16">
        <v>0</v>
      </c>
    </row>
    <row r="10" spans="1:18" x14ac:dyDescent="0.25">
      <c r="A10" s="11" t="s">
        <v>142</v>
      </c>
      <c r="B10" s="13">
        <v>10036</v>
      </c>
      <c r="C10" s="14">
        <f>(8351/B10*100)</f>
        <v>83.210442407333602</v>
      </c>
      <c r="D10" s="15">
        <v>1685</v>
      </c>
      <c r="E10" s="14">
        <v>17.22069226</v>
      </c>
      <c r="F10" s="16">
        <v>1.21193262</v>
      </c>
      <c r="G10" s="14">
        <v>82.779307739999993</v>
      </c>
      <c r="H10" s="16">
        <v>1.21193262</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23.546178609999998</v>
      </c>
      <c r="F11" s="16">
        <v>2.3154223599999999</v>
      </c>
      <c r="G11" s="14">
        <v>76.453821390000002</v>
      </c>
      <c r="H11" s="16">
        <v>2.3154223599999999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20.183087369999999</v>
      </c>
      <c r="F12" s="16">
        <v>1.6934617999999999</v>
      </c>
      <c r="G12" s="14">
        <v>79.816912630000004</v>
      </c>
      <c r="H12" s="16">
        <v>1.6934617999999999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15.450183790000001</v>
      </c>
      <c r="F13" s="16">
        <v>1.7744067400000001</v>
      </c>
      <c r="G13" s="14">
        <v>84.549816210000003</v>
      </c>
      <c r="H13" s="16">
        <v>1.7744067400000001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14.922851059999999</v>
      </c>
      <c r="F14" s="16">
        <v>1.51472885</v>
      </c>
      <c r="G14" s="14">
        <v>85.077148940000001</v>
      </c>
      <c r="H14" s="16">
        <v>1.51472885</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(2506/B15*100)</f>
        <v>83.007618416694271</v>
      </c>
      <c r="D15" s="15">
        <v>513</v>
      </c>
      <c r="E15" s="14">
        <v>12.117002899999999</v>
      </c>
      <c r="F15" s="16">
        <v>1.2868310300000001</v>
      </c>
      <c r="G15" s="14">
        <v>87.882997099999997</v>
      </c>
      <c r="H15" s="16">
        <v>1.2868310300000001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24.57891764</v>
      </c>
      <c r="F16" s="16">
        <v>1.9584151599999999</v>
      </c>
      <c r="G16" s="14">
        <v>75.42108236</v>
      </c>
      <c r="H16" s="16">
        <v>1.9584151599999999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21.71534909</v>
      </c>
      <c r="F17" s="16">
        <v>1.81570952</v>
      </c>
      <c r="G17" s="14">
        <v>78.284650909999996</v>
      </c>
      <c r="H17" s="16">
        <v>1.81570952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31.191099319999999</v>
      </c>
      <c r="F18" s="16">
        <v>2.1109720200000002</v>
      </c>
      <c r="G18" s="14">
        <v>68.808900679999994</v>
      </c>
      <c r="H18" s="16">
        <v>2.1109720200000002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(2325/B19*100)</f>
        <v>82.799145299145295</v>
      </c>
      <c r="D19" s="15">
        <v>483</v>
      </c>
      <c r="E19" s="14">
        <v>27.405784409999999</v>
      </c>
      <c r="F19" s="16">
        <v>2.5163139299999999</v>
      </c>
      <c r="G19" s="14">
        <v>72.594215590000005</v>
      </c>
      <c r="H19" s="16">
        <v>2.5163139299999999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26.115963520000001</v>
      </c>
      <c r="F20" s="16">
        <v>2.8465846199999998</v>
      </c>
      <c r="G20" s="14">
        <v>73.884036480000006</v>
      </c>
      <c r="H20" s="16">
        <v>2.8465846199999998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(2438/B22*100)</f>
        <v>83.179802115319006</v>
      </c>
      <c r="D22" s="15">
        <v>493</v>
      </c>
      <c r="E22" s="14">
        <v>28.896179190000002</v>
      </c>
      <c r="F22" s="16">
        <v>2.0872599200000002</v>
      </c>
      <c r="G22" s="14">
        <v>71.103820810000002</v>
      </c>
      <c r="H22" s="16">
        <v>2.0872599200000002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22.002480370000001</v>
      </c>
      <c r="F23" s="16">
        <v>1.6520895499999999</v>
      </c>
      <c r="G23" s="14">
        <v>77.997519629999999</v>
      </c>
      <c r="H23" s="16">
        <v>1.6520895499999999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28.268921249999998</v>
      </c>
      <c r="F24" s="16">
        <v>1.87715364</v>
      </c>
      <c r="G24" s="14">
        <v>71.731078749999995</v>
      </c>
      <c r="H24" s="16">
        <v>1.87715364</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39.478647019999997</v>
      </c>
      <c r="F25" s="16">
        <v>2.09030096</v>
      </c>
      <c r="G25" s="14">
        <v>60.521352980000003</v>
      </c>
      <c r="H25" s="16">
        <v>2.09030096</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(2043/B26*100)</f>
        <v>83.387755102040813</v>
      </c>
      <c r="D26" s="15">
        <v>407</v>
      </c>
      <c r="E26" s="14">
        <v>18.391642919999999</v>
      </c>
      <c r="F26" s="16">
        <v>2.0305466700000001</v>
      </c>
      <c r="G26" s="14">
        <v>81.608357080000005</v>
      </c>
      <c r="H26" s="16">
        <v>2.0305466700000001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23.6176669</v>
      </c>
      <c r="F27" s="16">
        <v>2.16952956</v>
      </c>
      <c r="G27" s="14">
        <v>76.382333099999997</v>
      </c>
      <c r="H27" s="16">
        <v>2.16952956</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(3124/B28*100)</f>
        <v>82.974767596281538</v>
      </c>
      <c r="D28" s="15">
        <v>641</v>
      </c>
      <c r="E28" s="14">
        <v>37.784182540000003</v>
      </c>
      <c r="F28" s="16">
        <v>2.2916410599999999</v>
      </c>
      <c r="G28" s="14">
        <v>62.215817459999997</v>
      </c>
      <c r="H28" s="16">
        <v>2.2916410599999999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18.765415430000001</v>
      </c>
      <c r="F29" s="16">
        <v>1.93576189</v>
      </c>
      <c r="G29" s="14">
        <v>81.234584569999996</v>
      </c>
      <c r="H29" s="16">
        <v>1.93576189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19.524957830000002</v>
      </c>
      <c r="F30" s="16">
        <v>2.0063132499999998</v>
      </c>
      <c r="G30" s="14">
        <v>80.475042169999995</v>
      </c>
      <c r="H30" s="16">
        <v>2.0063132499999998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(2292/B31*100)</f>
        <v>83.345454545454544</v>
      </c>
      <c r="D31" s="15">
        <v>458</v>
      </c>
      <c r="E31" s="14">
        <v>19.278145640000002</v>
      </c>
      <c r="F31" s="16">
        <v>1.8910430300000001</v>
      </c>
      <c r="G31" s="14">
        <v>80.721854359999995</v>
      </c>
      <c r="H31" s="16">
        <v>1.8910430300000001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(3052/B33*100)</f>
        <v>83.070223189983665</v>
      </c>
      <c r="D33" s="15">
        <v>622</v>
      </c>
      <c r="E33" s="14">
        <v>20.112998860000001</v>
      </c>
      <c r="F33" s="16">
        <v>1.76724612</v>
      </c>
      <c r="G33" s="14">
        <v>79.887001139999995</v>
      </c>
      <c r="H33" s="16">
        <v>1.76724612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23.2745046</v>
      </c>
      <c r="F34" s="16">
        <v>2.1215765800000002</v>
      </c>
      <c r="G34" s="14">
        <v>76.7254954</v>
      </c>
      <c r="H34" s="16">
        <v>2.1215765800000002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17.716933170000001</v>
      </c>
      <c r="F35" s="16">
        <v>1.9393368900000001</v>
      </c>
      <c r="G35" s="14">
        <v>82.283066829999996</v>
      </c>
      <c r="H35" s="16">
        <v>1.9393368900000001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(2749/B36*100)</f>
        <v>82.503001200480199</v>
      </c>
      <c r="D36" s="15">
        <v>583</v>
      </c>
      <c r="E36" s="14">
        <v>19.042894820000001</v>
      </c>
      <c r="F36" s="16">
        <v>1.92810609</v>
      </c>
      <c r="G36" s="14">
        <v>80.957105179999999</v>
      </c>
      <c r="H36" s="16">
        <v>1.92810609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17.187636730000001</v>
      </c>
      <c r="F37" s="16">
        <v>2.43499562</v>
      </c>
      <c r="G37" s="14">
        <v>82.812363270000006</v>
      </c>
      <c r="H37" s="16">
        <v>2.43499562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44.529684609999997</v>
      </c>
      <c r="F39" s="16">
        <v>2.5785787</v>
      </c>
      <c r="G39" s="14">
        <v>55.470315390000003</v>
      </c>
      <c r="H39" s="16">
        <v>2.5785787</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(6002/B40*100)</f>
        <v>82.957843814789229</v>
      </c>
      <c r="D40" s="15">
        <v>1233</v>
      </c>
      <c r="E40" s="14">
        <v>21.978981059999999</v>
      </c>
      <c r="F40" s="16">
        <v>2.1159270299999999</v>
      </c>
      <c r="G40" s="14">
        <v>78.021018940000005</v>
      </c>
      <c r="H40" s="16">
        <v>2.1159270299999999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20.909021209999999</v>
      </c>
      <c r="F41" s="16">
        <v>2.2148939599999999</v>
      </c>
      <c r="G41" s="14">
        <v>79.090978789999994</v>
      </c>
      <c r="H41" s="16">
        <v>2.2148939599999999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83.130041706177337</v>
      </c>
      <c r="D42" s="15">
        <f>IF(COUNT(D7:D41) &gt; 0, AVERAGE(D7:D41), "—")</f>
        <v>616.9375</v>
      </c>
      <c r="E42" s="14">
        <f>IF(COUNT(E7:E41) &gt; 0, AVERAGE(E7:E41), "—")</f>
        <v>22.7857528609375</v>
      </c>
      <c r="F42" s="16">
        <f>IF(COUNT(F7:F41) &gt; 0, SQRT(SUMSQ(F7:F41)/(COUNT(F7:F41)*COUNT(F7:F41)) ), "—")</f>
        <v>0.35352562252982622</v>
      </c>
      <c r="G42" s="14">
        <f>IF(COUNT(G7:G41) &gt; 0, AVERAGE(G7:G41), "—")</f>
        <v>77.214247139062479</v>
      </c>
      <c r="H42" s="16">
        <f>IF(COUNT(H7:H41) &gt; 0, SQRT(SUMSQ(H7:H41)/(COUNT(H7:H41)*COUNT(H7:H41)) ), "—")</f>
        <v>0.35352562252982622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(9349/B46*100)</f>
        <v>84.468738706179977</v>
      </c>
      <c r="D46" s="15">
        <v>1719</v>
      </c>
      <c r="E46" s="14">
        <v>35.236556579999998</v>
      </c>
      <c r="F46" s="16">
        <v>1.5825001000000001</v>
      </c>
      <c r="G46" s="14">
        <v>64.763443420000002</v>
      </c>
      <c r="H46" s="16">
        <v>1.5825001000000001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(2582/B47*100)</f>
        <v>83.156199677938815</v>
      </c>
      <c r="D47" s="15">
        <v>523</v>
      </c>
      <c r="E47" s="14">
        <v>37.422656809999999</v>
      </c>
      <c r="F47" s="16">
        <v>2.2728386999999999</v>
      </c>
      <c r="G47" s="14">
        <v>62.577343190000001</v>
      </c>
      <c r="H47" s="16">
        <v>2.2728386999999999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29.073575529999999</v>
      </c>
      <c r="F48" s="16">
        <v>2.5181710399999999</v>
      </c>
      <c r="G48" s="14">
        <v>70.926424470000001</v>
      </c>
      <c r="H48" s="16">
        <v>2.5181710399999999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(4663/B50*100)</f>
        <v>82.721305659038492</v>
      </c>
      <c r="D50" s="15">
        <v>974</v>
      </c>
      <c r="E50" s="14">
        <v>39.478503529999998</v>
      </c>
      <c r="F50" s="16">
        <v>2.2739651300000001</v>
      </c>
      <c r="G50" s="14">
        <v>60.521496470000002</v>
      </c>
      <c r="H50" s="16">
        <v>2.2739651300000001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(2846/B51*100)</f>
        <v>84.400948991696325</v>
      </c>
      <c r="D51" s="15">
        <v>526</v>
      </c>
      <c r="E51" s="14">
        <v>27.12666162</v>
      </c>
      <c r="F51" s="16">
        <v>1.8136783000000001</v>
      </c>
      <c r="G51" s="14">
        <v>72.873338380000007</v>
      </c>
      <c r="H51" s="16">
        <v>1.8136783000000001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15.1235836</v>
      </c>
      <c r="F52" s="16">
        <v>1.4438289200000001</v>
      </c>
      <c r="G52" s="14">
        <v>84.876416399999997</v>
      </c>
      <c r="H52" s="16">
        <v>1.4438289200000001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(2333/B53*100)</f>
        <v>82.99537531127713</v>
      </c>
      <c r="D53" s="15">
        <v>478</v>
      </c>
      <c r="E53" s="14">
        <v>39.406784209999998</v>
      </c>
      <c r="F53" s="16">
        <v>2.05137641</v>
      </c>
      <c r="G53" s="14">
        <v>60.593215790000002</v>
      </c>
      <c r="H53" s="16">
        <v>2.05137641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(2240/B56*100)</f>
        <v>83.457526080476896</v>
      </c>
      <c r="D56" s="15">
        <v>444</v>
      </c>
      <c r="E56" s="14">
        <v>37.623817819999999</v>
      </c>
      <c r="F56" s="16">
        <v>2.6150728299999999</v>
      </c>
      <c r="G56" s="14">
        <v>62.376182180000001</v>
      </c>
      <c r="H56" s="16">
        <v>2.6150728299999999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31.059445310000001</v>
      </c>
      <c r="F61" s="16">
        <v>2.0045350700000002</v>
      </c>
      <c r="G61" s="14">
        <v>68.940554689999999</v>
      </c>
      <c r="H61" s="16">
        <v>2.0045350700000002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40.560723199999998</v>
      </c>
      <c r="F62" s="16">
        <v>2.33030626</v>
      </c>
      <c r="G62" s="14">
        <v>59.439276800000002</v>
      </c>
      <c r="H62" s="16">
        <v>2.33030626</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(2431/B66*100)</f>
        <v>84.001382170006906</v>
      </c>
      <c r="D66" s="15">
        <v>463</v>
      </c>
      <c r="E66" s="14">
        <v>30.103900100000001</v>
      </c>
      <c r="F66" s="16">
        <v>2.26780654</v>
      </c>
      <c r="G66" s="14">
        <v>69.896099899999996</v>
      </c>
      <c r="H66" s="16">
        <v>2.26780654</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(2940/B67*100)</f>
        <v>83.736827114782102</v>
      </c>
      <c r="D67" s="15">
        <v>571</v>
      </c>
      <c r="E67" s="14">
        <v>44.745821339999999</v>
      </c>
      <c r="F67" s="16">
        <v>1.94480461</v>
      </c>
      <c r="G67" s="14">
        <v>55.254178660000001</v>
      </c>
      <c r="H67" s="16">
        <v>1.94480461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23.221265030000001</v>
      </c>
      <c r="F70" s="16">
        <v>2.1125889099999999</v>
      </c>
      <c r="G70" s="14">
        <v>76.778734970000002</v>
      </c>
      <c r="H70" s="16">
        <v>2.1125889099999999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31.951308600000001</v>
      </c>
      <c r="F72" s="16">
        <v>1.9901100599999999</v>
      </c>
      <c r="G72" s="14">
        <v>68.048691399999996</v>
      </c>
      <c r="H72" s="16">
        <v>1.9901100599999999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(2974/B73*100)</f>
        <v>82.680011120378097</v>
      </c>
      <c r="D73" s="15">
        <v>623</v>
      </c>
      <c r="E73" s="14">
        <v>73.329187399999995</v>
      </c>
      <c r="F73" s="16">
        <v>1.86508864</v>
      </c>
      <c r="G73" s="14">
        <v>26.670812600000001</v>
      </c>
      <c r="H73" s="16">
        <v>1.86508864</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(2024/B75*100)</f>
        <v>84.123025768911049</v>
      </c>
      <c r="D75" s="15">
        <v>382</v>
      </c>
      <c r="E75" s="14">
        <v>41.8102673</v>
      </c>
      <c r="F75" s="16">
        <v>2.4200332200000001</v>
      </c>
      <c r="G75" s="14">
        <v>58.1897327</v>
      </c>
      <c r="H75" s="16">
        <v>2.4200332200000001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41.27031049</v>
      </c>
      <c r="F76" s="16">
        <v>1.5725732299999999</v>
      </c>
      <c r="G76" s="14">
        <v>58.72968951</v>
      </c>
      <c r="H76" s="16">
        <v>1.5725732299999999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(2436/B77*100)</f>
        <v>83.768913342503438</v>
      </c>
      <c r="D77" s="15">
        <v>472</v>
      </c>
      <c r="E77" s="14">
        <v>24.676977709999999</v>
      </c>
      <c r="F77" s="16">
        <v>1.87646906</v>
      </c>
      <c r="G77" s="14">
        <v>75.323022289999997</v>
      </c>
      <c r="H77" s="16">
        <v>1.87646906</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48.019053280000001</v>
      </c>
      <c r="F81" s="16">
        <v>2.3445499399999998</v>
      </c>
      <c r="G81" s="14">
        <v>51.980946719999999</v>
      </c>
      <c r="H81" s="16">
        <v>2.3445499399999998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(6132/B7*100)</f>
        <v>83.236052667300115</v>
      </c>
      <c r="D7" s="15">
        <v>1235</v>
      </c>
      <c r="E7" s="14">
        <v>79.763214099999999</v>
      </c>
      <c r="F7" s="16">
        <v>1.3954829200000001</v>
      </c>
      <c r="G7" s="14">
        <v>20.236785900000001</v>
      </c>
      <c r="H7" s="16">
        <v>1.3954829200000001</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82.177817829999995</v>
      </c>
      <c r="F8" s="16">
        <v>1.580606</v>
      </c>
      <c r="G8" s="14">
        <v>17.822182170000001</v>
      </c>
      <c r="H8" s="16">
        <v>1.580606</v>
      </c>
      <c r="I8" s="14" t="s">
        <v>139</v>
      </c>
      <c r="J8" s="16" t="s">
        <v>139</v>
      </c>
      <c r="K8" s="14">
        <v>0</v>
      </c>
      <c r="L8" s="16">
        <v>0</v>
      </c>
      <c r="M8" s="14">
        <v>0</v>
      </c>
      <c r="N8" s="16">
        <v>0</v>
      </c>
      <c r="O8" s="14">
        <v>0</v>
      </c>
      <c r="P8" s="16">
        <v>0</v>
      </c>
      <c r="Q8" s="14">
        <v>0</v>
      </c>
      <c r="R8" s="16">
        <v>0</v>
      </c>
    </row>
    <row r="9" spans="1:18" x14ac:dyDescent="0.25">
      <c r="A9" s="11" t="s">
        <v>141</v>
      </c>
      <c r="B9" s="13">
        <v>4899</v>
      </c>
      <c r="C9" s="14">
        <f>(4077/B9*100)</f>
        <v>83.221065523576243</v>
      </c>
      <c r="D9" s="15">
        <v>822</v>
      </c>
      <c r="E9" s="14">
        <v>81.212006180000003</v>
      </c>
      <c r="F9" s="16">
        <v>1.52787414</v>
      </c>
      <c r="G9" s="14">
        <v>18.787993820000001</v>
      </c>
      <c r="H9" s="16">
        <v>1.52787414</v>
      </c>
      <c r="I9" s="14" t="s">
        <v>139</v>
      </c>
      <c r="J9" s="16" t="s">
        <v>139</v>
      </c>
      <c r="K9" s="14">
        <v>0</v>
      </c>
      <c r="L9" s="16">
        <v>0</v>
      </c>
      <c r="M9" s="14">
        <v>0</v>
      </c>
      <c r="N9" s="16">
        <v>0</v>
      </c>
      <c r="O9" s="14">
        <v>0</v>
      </c>
      <c r="P9" s="16">
        <v>0</v>
      </c>
      <c r="Q9" s="14">
        <v>0</v>
      </c>
      <c r="R9" s="16">
        <v>0</v>
      </c>
    </row>
    <row r="10" spans="1:18" x14ac:dyDescent="0.25">
      <c r="A10" s="11" t="s">
        <v>142</v>
      </c>
      <c r="B10" s="13">
        <v>10036</v>
      </c>
      <c r="C10" s="14">
        <f>(8351/B10*100)</f>
        <v>83.210442407333602</v>
      </c>
      <c r="D10" s="15">
        <v>1685</v>
      </c>
      <c r="E10" s="14">
        <v>80.658525909999994</v>
      </c>
      <c r="F10" s="16">
        <v>1.3695526899999999</v>
      </c>
      <c r="G10" s="14">
        <v>19.341474089999998</v>
      </c>
      <c r="H10" s="16">
        <v>1.3695526899999999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91.278646670000001</v>
      </c>
      <c r="F11" s="16">
        <v>1.2467548500000001</v>
      </c>
      <c r="G11" s="14">
        <v>8.7213533299999995</v>
      </c>
      <c r="H11" s="16">
        <v>1.2467548500000001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81.137938480000003</v>
      </c>
      <c r="F12" s="16">
        <v>1.9212899000000001</v>
      </c>
      <c r="G12" s="14">
        <v>18.862061520000001</v>
      </c>
      <c r="H12" s="16">
        <v>1.9212899000000001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78.629530900000006</v>
      </c>
      <c r="F13" s="16">
        <v>2.0526909799999999</v>
      </c>
      <c r="G13" s="14">
        <v>21.370469100000001</v>
      </c>
      <c r="H13" s="16">
        <v>2.0526909799999999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78.303142230000006</v>
      </c>
      <c r="F14" s="16">
        <v>1.91869146</v>
      </c>
      <c r="G14" s="14">
        <v>21.696857770000001</v>
      </c>
      <c r="H14" s="16">
        <v>1.91869146</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(2506/B15*100)</f>
        <v>83.007618416694271</v>
      </c>
      <c r="D15" s="15">
        <v>513</v>
      </c>
      <c r="E15" s="14">
        <v>72.890344110000001</v>
      </c>
      <c r="F15" s="16">
        <v>1.9925725999999999</v>
      </c>
      <c r="G15" s="14">
        <v>27.109655889999999</v>
      </c>
      <c r="H15" s="16">
        <v>1.9925725999999999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82.354147560000001</v>
      </c>
      <c r="F16" s="16">
        <v>1.4857098900000001</v>
      </c>
      <c r="G16" s="14">
        <v>17.645852439999999</v>
      </c>
      <c r="H16" s="16">
        <v>1.4857098900000001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(2789/B17*100)</f>
        <v>84.336256425763537</v>
      </c>
      <c r="D17" s="15">
        <v>518</v>
      </c>
      <c r="E17" s="14">
        <v>85.132274629999998</v>
      </c>
      <c r="F17" s="16">
        <v>1.6083225699999999</v>
      </c>
      <c r="G17" s="14">
        <v>14.86772537</v>
      </c>
      <c r="H17" s="16">
        <v>1.6083225699999999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85.156698809999995</v>
      </c>
      <c r="F18" s="16">
        <v>1.6843629499999999</v>
      </c>
      <c r="G18" s="14">
        <v>14.84330119</v>
      </c>
      <c r="H18" s="16">
        <v>1.6843629499999999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(2325/B19*100)</f>
        <v>82.799145299145295</v>
      </c>
      <c r="D19" s="15">
        <v>483</v>
      </c>
      <c r="E19" s="14">
        <v>84.987412759999998</v>
      </c>
      <c r="F19" s="16">
        <v>1.7849894799999999</v>
      </c>
      <c r="G19" s="14">
        <v>15.01258724</v>
      </c>
      <c r="H19" s="16">
        <v>1.7849894799999999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78.165000629999994</v>
      </c>
      <c r="F20" s="16">
        <v>2.7424536599999998</v>
      </c>
      <c r="G20" s="14">
        <v>21.834999369999998</v>
      </c>
      <c r="H20" s="16">
        <v>2.7424536599999998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(2438/B22*100)</f>
        <v>83.179802115319006</v>
      </c>
      <c r="D22" s="15">
        <v>493</v>
      </c>
      <c r="E22" s="14">
        <v>85.159910670000002</v>
      </c>
      <c r="F22" s="16">
        <v>1.6459225</v>
      </c>
      <c r="G22" s="14">
        <v>14.84008933</v>
      </c>
      <c r="H22" s="16">
        <v>1.6459225</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(4785/B23*100)</f>
        <v>82.628216197547914</v>
      </c>
      <c r="D23" s="15">
        <v>1006</v>
      </c>
      <c r="E23" s="14">
        <v>82.520214859999996</v>
      </c>
      <c r="F23" s="16">
        <v>1.7103442200000001</v>
      </c>
      <c r="G23" s="14">
        <v>17.479785140000001</v>
      </c>
      <c r="H23" s="16">
        <v>1.7103442200000001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84.080635779999994</v>
      </c>
      <c r="F24" s="16">
        <v>1.6419258800000001</v>
      </c>
      <c r="G24" s="14">
        <v>15.91936422</v>
      </c>
      <c r="H24" s="16">
        <v>1.6419258800000001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61.242378459999998</v>
      </c>
      <c r="F25" s="16">
        <v>2.46137257</v>
      </c>
      <c r="G25" s="14">
        <v>38.757621540000002</v>
      </c>
      <c r="H25" s="16">
        <v>2.46137257</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(2043/B26*100)</f>
        <v>83.387755102040813</v>
      </c>
      <c r="D26" s="15">
        <v>407</v>
      </c>
      <c r="E26" s="14">
        <v>83.804006999999999</v>
      </c>
      <c r="F26" s="16">
        <v>1.61508732</v>
      </c>
      <c r="G26" s="14">
        <v>16.195993000000001</v>
      </c>
      <c r="H26" s="16">
        <v>1.61508732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87.538850499999995</v>
      </c>
      <c r="F27" s="16">
        <v>1.7221557300000001</v>
      </c>
      <c r="G27" s="14">
        <v>12.461149499999999</v>
      </c>
      <c r="H27" s="16">
        <v>1.7221557300000001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(3124/B28*100)</f>
        <v>82.974767596281538</v>
      </c>
      <c r="D28" s="15">
        <v>641</v>
      </c>
      <c r="E28" s="14">
        <v>80.388878660000003</v>
      </c>
      <c r="F28" s="16">
        <v>2.0628905199999998</v>
      </c>
      <c r="G28" s="14">
        <v>19.61112134</v>
      </c>
      <c r="H28" s="16">
        <v>2.0628905199999998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77.071309429999999</v>
      </c>
      <c r="F29" s="16">
        <v>1.69113428</v>
      </c>
      <c r="G29" s="14">
        <v>22.928690570000001</v>
      </c>
      <c r="H29" s="16">
        <v>1.69113428</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79.95961398</v>
      </c>
      <c r="F30" s="16">
        <v>2.15748103</v>
      </c>
      <c r="G30" s="14">
        <v>20.04038602</v>
      </c>
      <c r="H30" s="16">
        <v>2.15748103</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(2292/B31*100)</f>
        <v>83.345454545454544</v>
      </c>
      <c r="D31" s="15">
        <v>458</v>
      </c>
      <c r="E31" s="14">
        <v>86.046965889999996</v>
      </c>
      <c r="F31" s="16">
        <v>1.50036642</v>
      </c>
      <c r="G31" s="14">
        <v>13.953034110000001</v>
      </c>
      <c r="H31" s="16">
        <v>1.50036642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(3052/B33*100)</f>
        <v>83.070223189983665</v>
      </c>
      <c r="D33" s="15">
        <v>622</v>
      </c>
      <c r="E33" s="14">
        <v>88.655384260000005</v>
      </c>
      <c r="F33" s="16">
        <v>1.5400152300000001</v>
      </c>
      <c r="G33" s="14">
        <v>11.34461574</v>
      </c>
      <c r="H33" s="16">
        <v>1.5400152300000001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89.137679910000003</v>
      </c>
      <c r="F34" s="16">
        <v>1.44296332</v>
      </c>
      <c r="G34" s="14">
        <v>10.862320090000001</v>
      </c>
      <c r="H34" s="16">
        <v>1.44296332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85.615325810000002</v>
      </c>
      <c r="F35" s="16">
        <v>1.9130162100000001</v>
      </c>
      <c r="G35" s="14">
        <v>14.38467419</v>
      </c>
      <c r="H35" s="16">
        <v>1.9130162100000001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(2749/B36*100)</f>
        <v>82.503001200480199</v>
      </c>
      <c r="D36" s="15">
        <v>583</v>
      </c>
      <c r="E36" s="14">
        <v>87.345421770000002</v>
      </c>
      <c r="F36" s="16">
        <v>1.15852288</v>
      </c>
      <c r="G36" s="14">
        <v>12.65457823</v>
      </c>
      <c r="H36" s="16">
        <v>1.15852288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(2277/B37*100)</f>
        <v>83.4983498349835</v>
      </c>
      <c r="D37" s="15">
        <v>450</v>
      </c>
      <c r="E37" s="14">
        <v>82.996556870000006</v>
      </c>
      <c r="F37" s="16">
        <v>1.7652081399999999</v>
      </c>
      <c r="G37" s="14">
        <v>17.003443130000001</v>
      </c>
      <c r="H37" s="16">
        <v>1.7652081399999999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85.071925840000006</v>
      </c>
      <c r="F39" s="16">
        <v>2.01362986</v>
      </c>
      <c r="G39" s="14">
        <v>14.92807416</v>
      </c>
      <c r="H39" s="16">
        <v>2.01362986</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(6002/B40*100)</f>
        <v>82.957843814789229</v>
      </c>
      <c r="D40" s="15">
        <v>1233</v>
      </c>
      <c r="E40" s="14">
        <v>83.182515350000003</v>
      </c>
      <c r="F40" s="16">
        <v>1.8004491899999999</v>
      </c>
      <c r="G40" s="14">
        <v>16.817484650000001</v>
      </c>
      <c r="H40" s="16">
        <v>1.8004491899999999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75.893808419999999</v>
      </c>
      <c r="F41" s="16">
        <v>2.22504496</v>
      </c>
      <c r="G41" s="14">
        <v>24.106191580000001</v>
      </c>
      <c r="H41" s="16">
        <v>2.22504496</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83.130041706177337</v>
      </c>
      <c r="D42" s="15">
        <f>IF(COUNT(D7:D41) &gt; 0, AVERAGE(D7:D41), "—")</f>
        <v>616.9375</v>
      </c>
      <c r="E42" s="14">
        <f>IF(COUNT(E7:E41) &gt; 0, AVERAGE(E7:E41), "—")</f>
        <v>82.111190133124978</v>
      </c>
      <c r="F42" s="16">
        <f>IF(COUNT(F7:F41) &gt; 0, SQRT(SUMSQ(F7:F41)/(COUNT(F7:F41)*COUNT(F7:F41)) ), "—")</f>
        <v>0.31701126826108211</v>
      </c>
      <c r="G42" s="14">
        <f>IF(COUNT(G7:G41) &gt; 0, AVERAGE(G7:G41), "—")</f>
        <v>17.888809866875</v>
      </c>
      <c r="H42" s="16">
        <f>IF(COUNT(H7:H41) &gt; 0, SQRT(SUMSQ(H7:H41)/(COUNT(H7:H41)*COUNT(H7:H41)) ), "—")</f>
        <v>0.31701126826108211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(9349/B46*100)</f>
        <v>84.468738706179977</v>
      </c>
      <c r="D46" s="15">
        <v>1719</v>
      </c>
      <c r="E46" s="14">
        <v>88.353027850000004</v>
      </c>
      <c r="F46" s="16">
        <v>1.00357082</v>
      </c>
      <c r="G46" s="14">
        <v>11.64697215</v>
      </c>
      <c r="H46" s="16">
        <v>1.00357082</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(2582/B47*100)</f>
        <v>83.156199677938815</v>
      </c>
      <c r="D47" s="15">
        <v>523</v>
      </c>
      <c r="E47" s="14">
        <v>78.883626599999999</v>
      </c>
      <c r="F47" s="16">
        <v>1.6274960599999999</v>
      </c>
      <c r="G47" s="14">
        <v>21.116373400000001</v>
      </c>
      <c r="H47" s="16">
        <v>1.6274960599999999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(4281/B48*100)</f>
        <v>82.98119790657104</v>
      </c>
      <c r="D48" s="15">
        <v>878</v>
      </c>
      <c r="E48" s="14">
        <v>88.75262764</v>
      </c>
      <c r="F48" s="16">
        <v>1.25133001</v>
      </c>
      <c r="G48" s="14">
        <v>11.24737236</v>
      </c>
      <c r="H48" s="16">
        <v>1.25133001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(4663/B50*100)</f>
        <v>82.721305659038492</v>
      </c>
      <c r="D50" s="15">
        <v>974</v>
      </c>
      <c r="E50" s="14">
        <v>89.777852460000005</v>
      </c>
      <c r="F50" s="16">
        <v>1.1398725000000001</v>
      </c>
      <c r="G50" s="14">
        <v>10.22214754</v>
      </c>
      <c r="H50" s="16">
        <v>1.1398725000000001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(2846/B51*100)</f>
        <v>84.400948991696325</v>
      </c>
      <c r="D51" s="15">
        <v>526</v>
      </c>
      <c r="E51" s="14">
        <v>93.097173150000003</v>
      </c>
      <c r="F51" s="16">
        <v>1.0093038400000001</v>
      </c>
      <c r="G51" s="14">
        <v>6.9028268500000003</v>
      </c>
      <c r="H51" s="16">
        <v>1.0093038400000001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88.588805579999999</v>
      </c>
      <c r="F52" s="16">
        <v>1.5907225199999999</v>
      </c>
      <c r="G52" s="14">
        <v>11.411194419999999</v>
      </c>
      <c r="H52" s="16">
        <v>1.5907225199999999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(2333/B53*100)</f>
        <v>82.99537531127713</v>
      </c>
      <c r="D53" s="15">
        <v>478</v>
      </c>
      <c r="E53" s="14">
        <v>78.009013089999996</v>
      </c>
      <c r="F53" s="16">
        <v>2.2052897699999998</v>
      </c>
      <c r="G53" s="14">
        <v>21.99098691</v>
      </c>
      <c r="H53" s="16">
        <v>2.2052897699999998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(2240/B56*100)</f>
        <v>83.457526080476896</v>
      </c>
      <c r="D56" s="15">
        <v>444</v>
      </c>
      <c r="E56" s="14">
        <v>81.999677430000006</v>
      </c>
      <c r="F56" s="16">
        <v>2.4078694199999999</v>
      </c>
      <c r="G56" s="14">
        <v>18.000322570000002</v>
      </c>
      <c r="H56" s="16">
        <v>2.4078694199999999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88.532705000000007</v>
      </c>
      <c r="F61" s="16">
        <v>1.53072238</v>
      </c>
      <c r="G61" s="14">
        <v>11.467295</v>
      </c>
      <c r="H61" s="16">
        <v>1.53072238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79.647469470000004</v>
      </c>
      <c r="F62" s="16">
        <v>1.9212379399999999</v>
      </c>
      <c r="G62" s="14">
        <v>20.352530529999999</v>
      </c>
      <c r="H62" s="16">
        <v>1.9212379399999999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(2431/B66*100)</f>
        <v>84.001382170006906</v>
      </c>
      <c r="D66" s="15">
        <v>463</v>
      </c>
      <c r="E66" s="14">
        <v>83.437954270000006</v>
      </c>
      <c r="F66" s="16">
        <v>2.0106521700000002</v>
      </c>
      <c r="G66" s="14">
        <v>16.562045730000001</v>
      </c>
      <c r="H66" s="16">
        <v>2.0106521700000002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(2940/B67*100)</f>
        <v>83.736827114782102</v>
      </c>
      <c r="D67" s="15">
        <v>571</v>
      </c>
      <c r="E67" s="14">
        <v>88.427647489999998</v>
      </c>
      <c r="F67" s="16">
        <v>1.4148386399999999</v>
      </c>
      <c r="G67" s="14">
        <v>11.57235251</v>
      </c>
      <c r="H67" s="16">
        <v>1.4148386399999999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(2432/B70*100)</f>
        <v>83.031751451007167</v>
      </c>
      <c r="D70" s="15">
        <v>497</v>
      </c>
      <c r="E70" s="14">
        <v>87.104422139999997</v>
      </c>
      <c r="F70" s="16">
        <v>1.75562715</v>
      </c>
      <c r="G70" s="14">
        <v>12.89557786</v>
      </c>
      <c r="H70" s="16">
        <v>1.75562715</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72.698397729999996</v>
      </c>
      <c r="F72" s="16">
        <v>1.98296484</v>
      </c>
      <c r="G72" s="14">
        <v>27.30160227</v>
      </c>
      <c r="H72" s="16">
        <v>1.98296484</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(2974/B73*100)</f>
        <v>82.680011120378097</v>
      </c>
      <c r="D73" s="15">
        <v>623</v>
      </c>
      <c r="E73" s="14">
        <v>72.589920699999993</v>
      </c>
      <c r="F73" s="16">
        <v>2.2809934699999999</v>
      </c>
      <c r="G73" s="14">
        <v>27.4100793</v>
      </c>
      <c r="H73" s="16">
        <v>2.2809934699999999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(2024/B75*100)</f>
        <v>84.123025768911049</v>
      </c>
      <c r="D75" s="15">
        <v>382</v>
      </c>
      <c r="E75" s="14">
        <v>89.408752879999994</v>
      </c>
      <c r="F75" s="16">
        <v>1.7186707699999999</v>
      </c>
      <c r="G75" s="14">
        <v>10.59124712</v>
      </c>
      <c r="H75" s="16">
        <v>1.7186707699999999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88.607268930000004</v>
      </c>
      <c r="F76" s="16">
        <v>1.25303495</v>
      </c>
      <c r="G76" s="14">
        <v>11.39273107</v>
      </c>
      <c r="H76" s="16">
        <v>1.25303495</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(2436/B77*100)</f>
        <v>83.768913342503438</v>
      </c>
      <c r="D77" s="15">
        <v>472</v>
      </c>
      <c r="E77" s="14">
        <v>89.793336150000002</v>
      </c>
      <c r="F77" s="16">
        <v>1.47544929</v>
      </c>
      <c r="G77" s="14">
        <v>10.20666385</v>
      </c>
      <c r="H77" s="16">
        <v>1.47544929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72.475956260000004</v>
      </c>
      <c r="F81" s="16">
        <v>1.9666151000000001</v>
      </c>
      <c r="G81" s="14">
        <v>27.52404374</v>
      </c>
      <c r="H81" s="16">
        <v>1.9666151000000001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(6134/B7*100)</f>
        <v>83.263200760146603</v>
      </c>
      <c r="D7" s="15">
        <v>1233</v>
      </c>
      <c r="E7" s="14">
        <v>61.231011199999998</v>
      </c>
      <c r="F7" s="16">
        <v>1.4710179699999999</v>
      </c>
      <c r="G7" s="14">
        <v>38.768988800000002</v>
      </c>
      <c r="H7" s="16">
        <v>1.4710179699999999</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72.927765249999993</v>
      </c>
      <c r="F8" s="16">
        <v>1.94167527</v>
      </c>
      <c r="G8" s="14">
        <v>27.07223475</v>
      </c>
      <c r="H8" s="16">
        <v>1.94167527</v>
      </c>
      <c r="I8" s="14" t="s">
        <v>139</v>
      </c>
      <c r="J8" s="16" t="s">
        <v>139</v>
      </c>
      <c r="K8" s="14">
        <v>0</v>
      </c>
      <c r="L8" s="16">
        <v>0</v>
      </c>
      <c r="M8" s="14">
        <v>0</v>
      </c>
      <c r="N8" s="16">
        <v>0</v>
      </c>
      <c r="O8" s="14">
        <v>0</v>
      </c>
      <c r="P8" s="16">
        <v>0</v>
      </c>
      <c r="Q8" s="14">
        <v>0</v>
      </c>
      <c r="R8" s="16">
        <v>0</v>
      </c>
    </row>
    <row r="9" spans="1:18" x14ac:dyDescent="0.25">
      <c r="A9" s="11" t="s">
        <v>141</v>
      </c>
      <c r="B9" s="13">
        <v>4899</v>
      </c>
      <c r="C9" s="14">
        <f>(4077/B9*100)</f>
        <v>83.221065523576243</v>
      </c>
      <c r="D9" s="15">
        <v>822</v>
      </c>
      <c r="E9" s="14">
        <v>66.431494189999995</v>
      </c>
      <c r="F9" s="16">
        <v>1.78347407</v>
      </c>
      <c r="G9" s="14">
        <v>33.568505809999998</v>
      </c>
      <c r="H9" s="16">
        <v>1.78347407</v>
      </c>
      <c r="I9" s="14" t="s">
        <v>139</v>
      </c>
      <c r="J9" s="16" t="s">
        <v>139</v>
      </c>
      <c r="K9" s="14">
        <v>0</v>
      </c>
      <c r="L9" s="16">
        <v>0</v>
      </c>
      <c r="M9" s="14">
        <v>0</v>
      </c>
      <c r="N9" s="16">
        <v>0</v>
      </c>
      <c r="O9" s="14">
        <v>0</v>
      </c>
      <c r="P9" s="16">
        <v>0</v>
      </c>
      <c r="Q9" s="14">
        <v>0</v>
      </c>
      <c r="R9" s="16">
        <v>0</v>
      </c>
    </row>
    <row r="10" spans="1:18" x14ac:dyDescent="0.25">
      <c r="A10" s="11" t="s">
        <v>142</v>
      </c>
      <c r="B10" s="13">
        <v>10036</v>
      </c>
      <c r="C10" s="14">
        <f>(8352/B10*100)</f>
        <v>83.220406536468715</v>
      </c>
      <c r="D10" s="15">
        <v>1684</v>
      </c>
      <c r="E10" s="14">
        <v>63.70745625</v>
      </c>
      <c r="F10" s="16">
        <v>1.7711050100000001</v>
      </c>
      <c r="G10" s="14">
        <v>36.29254375</v>
      </c>
      <c r="H10" s="16">
        <v>1.7711050100000001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64.123088330000002</v>
      </c>
      <c r="F11" s="16">
        <v>2.1475699100000001</v>
      </c>
      <c r="G11" s="14">
        <v>35.876911669999998</v>
      </c>
      <c r="H11" s="16">
        <v>2.1475699100000001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66.035859270000003</v>
      </c>
      <c r="F12" s="16">
        <v>2.21340358</v>
      </c>
      <c r="G12" s="14">
        <v>33.964140729999997</v>
      </c>
      <c r="H12" s="16">
        <v>2.21340358</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55.872465570000003</v>
      </c>
      <c r="F13" s="16">
        <v>2.6961488500000002</v>
      </c>
      <c r="G13" s="14">
        <v>44.127534429999997</v>
      </c>
      <c r="H13" s="16">
        <v>2.6961488500000002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60.278050819999997</v>
      </c>
      <c r="F14" s="16">
        <v>2.2882594300000001</v>
      </c>
      <c r="G14" s="14">
        <v>39.721949180000003</v>
      </c>
      <c r="H14" s="16">
        <v>2.2882594300000001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(2507/B15*100)</f>
        <v>83.040741967538921</v>
      </c>
      <c r="D15" s="15">
        <v>512</v>
      </c>
      <c r="E15" s="14">
        <v>61.789316550000002</v>
      </c>
      <c r="F15" s="16">
        <v>2.2543894799999999</v>
      </c>
      <c r="G15" s="14">
        <v>38.210683449999998</v>
      </c>
      <c r="H15" s="16">
        <v>2.2543894799999999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67.365336110000001</v>
      </c>
      <c r="F16" s="16">
        <v>2.29566917</v>
      </c>
      <c r="G16" s="14">
        <v>32.634663889999999</v>
      </c>
      <c r="H16" s="16">
        <v>2.29566917</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(2790/B17*100)</f>
        <v>84.366495312972475</v>
      </c>
      <c r="D17" s="15">
        <v>517</v>
      </c>
      <c r="E17" s="14">
        <v>73.757928849999999</v>
      </c>
      <c r="F17" s="16">
        <v>2.3604874300000001</v>
      </c>
      <c r="G17" s="14">
        <v>26.242071150000001</v>
      </c>
      <c r="H17" s="16">
        <v>2.3604874300000001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67.819817099999995</v>
      </c>
      <c r="F18" s="16">
        <v>2.5457310400000002</v>
      </c>
      <c r="G18" s="14">
        <v>32.180182899999998</v>
      </c>
      <c r="H18" s="16">
        <v>2.5457310400000002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(2327/B19*100)</f>
        <v>82.870370370370367</v>
      </c>
      <c r="D19" s="15">
        <v>481</v>
      </c>
      <c r="E19" s="14">
        <v>58.734589030000002</v>
      </c>
      <c r="F19" s="16">
        <v>2.0226882100000001</v>
      </c>
      <c r="G19" s="14">
        <v>41.265410969999998</v>
      </c>
      <c r="H19" s="16">
        <v>2.0226882100000001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75.698882769999997</v>
      </c>
      <c r="F20" s="16">
        <v>2.4923498300000002</v>
      </c>
      <c r="G20" s="14">
        <v>24.301117229999999</v>
      </c>
      <c r="H20" s="16">
        <v>2.4923498300000002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(2439/B22*100)</f>
        <v>83.21392016376663</v>
      </c>
      <c r="D22" s="15">
        <v>492</v>
      </c>
      <c r="E22" s="14">
        <v>76.159293450000007</v>
      </c>
      <c r="F22" s="16">
        <v>1.82813318</v>
      </c>
      <c r="G22" s="14">
        <v>23.84070655</v>
      </c>
      <c r="H22" s="16">
        <v>1.82813318</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(4786/B23*100)</f>
        <v>82.645484372301851</v>
      </c>
      <c r="D23" s="15">
        <v>1005</v>
      </c>
      <c r="E23" s="14">
        <v>64.783194730000005</v>
      </c>
      <c r="F23" s="16">
        <v>1.8997284999999999</v>
      </c>
      <c r="G23" s="14">
        <v>35.216805270000002</v>
      </c>
      <c r="H23" s="16">
        <v>1.8997284999999999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72.668299009999998</v>
      </c>
      <c r="F24" s="16">
        <v>1.93671112</v>
      </c>
      <c r="G24" s="14">
        <v>27.331700990000002</v>
      </c>
      <c r="H24" s="16">
        <v>1.93671112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(2411/B25*100)</f>
        <v>82.795329670329664</v>
      </c>
      <c r="D25" s="15">
        <v>501</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2450</v>
      </c>
      <c r="C26" s="14">
        <f>(2043/B26*100)</f>
        <v>83.387755102040813</v>
      </c>
      <c r="D26" s="15">
        <v>407</v>
      </c>
      <c r="E26" s="14">
        <v>72.714432630000005</v>
      </c>
      <c r="F26" s="16">
        <v>2.26776847</v>
      </c>
      <c r="G26" s="14">
        <v>27.285567369999999</v>
      </c>
      <c r="H26" s="16">
        <v>2.26776847</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74.887463510000003</v>
      </c>
      <c r="F27" s="16">
        <v>2.0512157700000002</v>
      </c>
      <c r="G27" s="14">
        <v>25.11253649</v>
      </c>
      <c r="H27" s="16">
        <v>2.0512157700000002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(3128/B28*100)</f>
        <v>83.081009296148736</v>
      </c>
      <c r="D28" s="15">
        <v>637</v>
      </c>
      <c r="E28" s="14">
        <v>67.663650610000005</v>
      </c>
      <c r="F28" s="16">
        <v>2.0092669999999999</v>
      </c>
      <c r="G28" s="14">
        <v>32.336349390000002</v>
      </c>
      <c r="H28" s="16">
        <v>2.0092669999999999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59.737451280000002</v>
      </c>
      <c r="F29" s="16">
        <v>2.2716599300000002</v>
      </c>
      <c r="G29" s="14">
        <v>40.262548719999998</v>
      </c>
      <c r="H29" s="16">
        <v>2.2716599300000002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61.346963860000002</v>
      </c>
      <c r="F30" s="16">
        <v>2.9271817100000002</v>
      </c>
      <c r="G30" s="14">
        <v>38.653036139999998</v>
      </c>
      <c r="H30" s="16">
        <v>2.9271817100000002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(2293/B31*100)</f>
        <v>83.381818181818176</v>
      </c>
      <c r="D31" s="15">
        <v>457</v>
      </c>
      <c r="E31" s="14">
        <v>73.751194209999994</v>
      </c>
      <c r="F31" s="16">
        <v>1.9990848299999999</v>
      </c>
      <c r="G31" s="14">
        <v>26.248805789999999</v>
      </c>
      <c r="H31" s="16">
        <v>1.9990848299999999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(3053/B33*100)</f>
        <v>83.097441480675016</v>
      </c>
      <c r="D33" s="15">
        <v>621</v>
      </c>
      <c r="E33" s="14">
        <v>60.230151509999999</v>
      </c>
      <c r="F33" s="16">
        <v>2.1501507599999998</v>
      </c>
      <c r="G33" s="14">
        <v>39.769848490000001</v>
      </c>
      <c r="H33" s="16">
        <v>2.1501507599999998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75.74875333</v>
      </c>
      <c r="F34" s="16">
        <v>1.87303939</v>
      </c>
      <c r="G34" s="14">
        <v>24.25124667</v>
      </c>
      <c r="H34" s="16">
        <v>1.87303939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73.384789470000001</v>
      </c>
      <c r="F35" s="16">
        <v>2.09005061</v>
      </c>
      <c r="G35" s="14">
        <v>26.615210529999999</v>
      </c>
      <c r="H35" s="16">
        <v>2.09005061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(2749/B36*100)</f>
        <v>82.503001200480199</v>
      </c>
      <c r="D36" s="15">
        <v>583</v>
      </c>
      <c r="E36" s="14">
        <v>53.719091089999999</v>
      </c>
      <c r="F36" s="16">
        <v>2.1312590600000001</v>
      </c>
      <c r="G36" s="14">
        <v>46.280908910000001</v>
      </c>
      <c r="H36" s="16">
        <v>2.1312590600000001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66.985654969999999</v>
      </c>
      <c r="F37" s="16">
        <v>2.0209945500000002</v>
      </c>
      <c r="G37" s="14">
        <v>33.014345030000001</v>
      </c>
      <c r="H37" s="16">
        <v>2.0209945500000002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81.145968159999995</v>
      </c>
      <c r="F39" s="16">
        <v>2.1100547700000001</v>
      </c>
      <c r="G39" s="14">
        <v>18.854031840000001</v>
      </c>
      <c r="H39" s="16">
        <v>2.1100547700000001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(6002/B40*100)</f>
        <v>82.957843814789229</v>
      </c>
      <c r="D40" s="15">
        <v>1233</v>
      </c>
      <c r="E40" s="14">
        <v>60.622371489999999</v>
      </c>
      <c r="F40" s="16">
        <v>2.3398125200000002</v>
      </c>
      <c r="G40" s="14">
        <v>39.377628510000001</v>
      </c>
      <c r="H40" s="16">
        <v>2.3398125200000002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58.798245110000003</v>
      </c>
      <c r="F41" s="16">
        <v>2.1360462899999999</v>
      </c>
      <c r="G41" s="14">
        <v>41.201754889999997</v>
      </c>
      <c r="H41" s="16">
        <v>2.1360462899999999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83.145612369732504</v>
      </c>
      <c r="D42" s="15">
        <f>IF(COUNT(D7:D41) &gt; 0, AVERAGE(D7:D41), "—")</f>
        <v>616.375</v>
      </c>
      <c r="E42" s="14">
        <f>IF(COUNT(E7:E41) &gt; 0, AVERAGE(E7:E41), "—")</f>
        <v>64.691250928437498</v>
      </c>
      <c r="F42" s="16">
        <f>IF(COUNT(F7:F41) &gt; 0, SQRT(SUMSQ(F7:F41)/(COUNT(F7:F41)*COUNT(F7:F41)) ), "—")</f>
        <v>0.37552942537262507</v>
      </c>
      <c r="G42" s="14">
        <f>IF(COUNT(G7:G41) &gt; 0, AVERAGE(G7:G41), "—")</f>
        <v>32.183749071562495</v>
      </c>
      <c r="H42" s="16">
        <f>IF(COUNT(H7:H41) &gt; 0, SQRT(SUMSQ(H7:H41)/(COUNT(H7:H41)*COUNT(H7:H41)) ), "—")</f>
        <v>0.37552942537262507</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3.125</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(9380/B46*100)</f>
        <v>84.748825442717745</v>
      </c>
      <c r="D46" s="15">
        <v>1688</v>
      </c>
      <c r="E46" s="14">
        <v>64.441061619999999</v>
      </c>
      <c r="F46" s="16">
        <v>1.8565199800000001</v>
      </c>
      <c r="G46" s="14">
        <v>35.558938380000001</v>
      </c>
      <c r="H46" s="16">
        <v>1.8565199800000001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75.714303200000003</v>
      </c>
      <c r="F47" s="16">
        <v>1.9343492099999999</v>
      </c>
      <c r="G47" s="14">
        <v>24.2856968</v>
      </c>
      <c r="H47" s="16">
        <v>1.9343492099999999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(4283/B48*100)</f>
        <v>83.019965109517344</v>
      </c>
      <c r="D48" s="15">
        <v>876</v>
      </c>
      <c r="E48" s="14">
        <v>72.714086449999996</v>
      </c>
      <c r="F48" s="16">
        <v>1.9057434799999999</v>
      </c>
      <c r="G48" s="14">
        <v>27.28591355</v>
      </c>
      <c r="H48" s="16">
        <v>1.9057434799999999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(4665/B50*100)</f>
        <v>82.756785524215005</v>
      </c>
      <c r="D50" s="15">
        <v>972</v>
      </c>
      <c r="E50" s="14">
        <v>63.894863989999998</v>
      </c>
      <c r="F50" s="16">
        <v>2.1425080599999999</v>
      </c>
      <c r="G50" s="14">
        <v>36.105136010000002</v>
      </c>
      <c r="H50" s="16">
        <v>2.1425080599999999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(2846/B51*100)</f>
        <v>84.400948991696325</v>
      </c>
      <c r="D51" s="15">
        <v>526</v>
      </c>
      <c r="E51" s="14">
        <v>66.179854340000006</v>
      </c>
      <c r="F51" s="16">
        <v>2.3651247400000002</v>
      </c>
      <c r="G51" s="14">
        <v>33.820145660000001</v>
      </c>
      <c r="H51" s="16">
        <v>2.3651247400000002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61.937266770000001</v>
      </c>
      <c r="F52" s="16">
        <v>2.0215535899999999</v>
      </c>
      <c r="G52" s="14">
        <v>38.062733229999999</v>
      </c>
      <c r="H52" s="16">
        <v>2.0215535899999999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(2333/B53*100)</f>
        <v>82.99537531127713</v>
      </c>
      <c r="D53" s="15">
        <v>478</v>
      </c>
      <c r="E53" s="14">
        <v>65.924799179999994</v>
      </c>
      <c r="F53" s="16">
        <v>2.3621207100000001</v>
      </c>
      <c r="G53" s="14">
        <v>34.075200819999999</v>
      </c>
      <c r="H53" s="16">
        <v>2.3621207100000001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76.823337379999998</v>
      </c>
      <c r="F61" s="16">
        <v>1.7151421600000001</v>
      </c>
      <c r="G61" s="14">
        <v>23.176662619999998</v>
      </c>
      <c r="H61" s="16">
        <v>1.7151421600000001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11.951090239999999</v>
      </c>
      <c r="F62" s="16">
        <v>1.41243775</v>
      </c>
      <c r="G62" s="14">
        <v>5.7165815899999997</v>
      </c>
      <c r="H62" s="16">
        <v>1.3587148099999999</v>
      </c>
      <c r="I62" s="14" t="s">
        <v>139</v>
      </c>
      <c r="J62" s="16" t="s">
        <v>139</v>
      </c>
      <c r="K62" s="14">
        <v>0</v>
      </c>
      <c r="L62" s="16">
        <v>0</v>
      </c>
      <c r="M62" s="14">
        <v>82.332328169999997</v>
      </c>
      <c r="N62" s="16">
        <v>1.92467875</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(2430/B66*100)</f>
        <v>83.966827919834145</v>
      </c>
      <c r="D66" s="15">
        <v>464</v>
      </c>
      <c r="E66" s="14">
        <v>70.473666399999999</v>
      </c>
      <c r="F66" s="16">
        <v>1.8804159</v>
      </c>
      <c r="G66" s="14">
        <v>29.526333600000001</v>
      </c>
      <c r="H66" s="16">
        <v>1.8804159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(2944/B67*100)</f>
        <v>83.850754770720599</v>
      </c>
      <c r="D67" s="15">
        <v>567</v>
      </c>
      <c r="E67" s="14">
        <v>69.946486019999995</v>
      </c>
      <c r="F67" s="16">
        <v>2.2381853199999999</v>
      </c>
      <c r="G67" s="14">
        <v>30.053513980000002</v>
      </c>
      <c r="H67" s="16">
        <v>2.2381853199999999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(2433/B70*100)</f>
        <v>83.065892796176172</v>
      </c>
      <c r="D70" s="15">
        <v>496</v>
      </c>
      <c r="E70" s="14">
        <v>78.332449650000001</v>
      </c>
      <c r="F70" s="16">
        <v>2.2065109299999999</v>
      </c>
      <c r="G70" s="14">
        <v>21.667550349999999</v>
      </c>
      <c r="H70" s="16">
        <v>2.2065109299999999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82.614179230000005</v>
      </c>
      <c r="F72" s="16">
        <v>1.3936342100000001</v>
      </c>
      <c r="G72" s="14">
        <v>17.385820769999999</v>
      </c>
      <c r="H72" s="16">
        <v>1.3936342100000001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(2976/B73*100)</f>
        <v>82.735613010842371</v>
      </c>
      <c r="D73" s="15">
        <v>621</v>
      </c>
      <c r="E73" s="14">
        <v>78.869831809999994</v>
      </c>
      <c r="F73" s="16">
        <v>1.8609395</v>
      </c>
      <c r="G73" s="14">
        <v>21.130168189999999</v>
      </c>
      <c r="H73" s="16">
        <v>1.8609395</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(2027/B75*100)</f>
        <v>84.247714048212799</v>
      </c>
      <c r="D75" s="15">
        <v>379</v>
      </c>
      <c r="E75" s="14">
        <v>85.451550530000006</v>
      </c>
      <c r="F75" s="16">
        <v>2.0306161999999999</v>
      </c>
      <c r="G75" s="14">
        <v>14.54844947</v>
      </c>
      <c r="H75" s="16">
        <v>2.0306161999999999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71.559892840000003</v>
      </c>
      <c r="F76" s="16">
        <v>1.62999859</v>
      </c>
      <c r="G76" s="14">
        <v>28.44010716</v>
      </c>
      <c r="H76" s="16">
        <v>1.62999859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(2439/B77*100)</f>
        <v>83.872077028885826</v>
      </c>
      <c r="D77" s="15">
        <v>469</v>
      </c>
      <c r="E77" s="14">
        <v>62.867022749999997</v>
      </c>
      <c r="F77" s="16">
        <v>2.20464701</v>
      </c>
      <c r="G77" s="14">
        <v>37.132977250000003</v>
      </c>
      <c r="H77" s="16">
        <v>2.20464701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69.204986070000004</v>
      </c>
      <c r="F81" s="16">
        <v>2.0202730999999998</v>
      </c>
      <c r="G81" s="14">
        <v>30.79501393</v>
      </c>
      <c r="H81" s="16">
        <v>2.0202730999999998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309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(6134/B7*100)</f>
        <v>83.263200760146603</v>
      </c>
      <c r="D7" s="15">
        <v>1233</v>
      </c>
      <c r="E7" s="14">
        <v>50.208511170000001</v>
      </c>
      <c r="F7" s="16">
        <v>1.75762464</v>
      </c>
      <c r="G7" s="14">
        <v>49.791488829999999</v>
      </c>
      <c r="H7" s="16">
        <v>1.75762464</v>
      </c>
      <c r="I7" s="14" t="s">
        <v>139</v>
      </c>
      <c r="J7" s="16" t="s">
        <v>139</v>
      </c>
      <c r="K7" s="14">
        <v>0</v>
      </c>
      <c r="L7" s="16">
        <v>0</v>
      </c>
      <c r="M7" s="14">
        <v>0</v>
      </c>
      <c r="N7" s="16">
        <v>0</v>
      </c>
      <c r="O7" s="14">
        <v>0</v>
      </c>
      <c r="P7" s="16">
        <v>0</v>
      </c>
      <c r="Q7" s="14">
        <v>0</v>
      </c>
      <c r="R7" s="16">
        <v>0</v>
      </c>
    </row>
    <row r="8" spans="1:18" x14ac:dyDescent="0.25">
      <c r="A8" s="11" t="s">
        <v>140</v>
      </c>
      <c r="B8" s="13">
        <v>3564</v>
      </c>
      <c r="C8" s="14">
        <f>(2943/B8*100)</f>
        <v>82.575757575757578</v>
      </c>
      <c r="D8" s="15">
        <v>621</v>
      </c>
      <c r="E8" s="14">
        <v>47.350721870000001</v>
      </c>
      <c r="F8" s="16">
        <v>2.07712458</v>
      </c>
      <c r="G8" s="14">
        <v>52.649278129999999</v>
      </c>
      <c r="H8" s="16">
        <v>2.07712458</v>
      </c>
      <c r="I8" s="14" t="s">
        <v>139</v>
      </c>
      <c r="J8" s="16" t="s">
        <v>139</v>
      </c>
      <c r="K8" s="14">
        <v>0</v>
      </c>
      <c r="L8" s="16">
        <v>0</v>
      </c>
      <c r="M8" s="14">
        <v>0</v>
      </c>
      <c r="N8" s="16">
        <v>0</v>
      </c>
      <c r="O8" s="14">
        <v>0</v>
      </c>
      <c r="P8" s="16">
        <v>0</v>
      </c>
      <c r="Q8" s="14">
        <v>0</v>
      </c>
      <c r="R8" s="16">
        <v>0</v>
      </c>
    </row>
    <row r="9" spans="1:18" x14ac:dyDescent="0.25">
      <c r="A9" s="11" t="s">
        <v>141</v>
      </c>
      <c r="B9" s="13">
        <v>4899</v>
      </c>
      <c r="C9" s="14">
        <f>(4077/B9*100)</f>
        <v>83.221065523576243</v>
      </c>
      <c r="D9" s="15">
        <v>822</v>
      </c>
      <c r="E9" s="14">
        <v>52.948031210000003</v>
      </c>
      <c r="F9" s="16">
        <v>1.90584888</v>
      </c>
      <c r="G9" s="14">
        <v>47.051968789999997</v>
      </c>
      <c r="H9" s="16">
        <v>1.90584888</v>
      </c>
      <c r="I9" s="14" t="s">
        <v>139</v>
      </c>
      <c r="J9" s="16" t="s">
        <v>139</v>
      </c>
      <c r="K9" s="14">
        <v>0</v>
      </c>
      <c r="L9" s="16">
        <v>0</v>
      </c>
      <c r="M9" s="14">
        <v>0</v>
      </c>
      <c r="N9" s="16">
        <v>0</v>
      </c>
      <c r="O9" s="14">
        <v>0</v>
      </c>
      <c r="P9" s="16">
        <v>0</v>
      </c>
      <c r="Q9" s="14">
        <v>0</v>
      </c>
      <c r="R9" s="16">
        <v>0</v>
      </c>
    </row>
    <row r="10" spans="1:18" x14ac:dyDescent="0.25">
      <c r="A10" s="11" t="s">
        <v>142</v>
      </c>
      <c r="B10" s="13">
        <v>10036</v>
      </c>
      <c r="C10" s="14">
        <f>(8352/B10*100)</f>
        <v>83.220406536468715</v>
      </c>
      <c r="D10" s="15">
        <v>1684</v>
      </c>
      <c r="E10" s="14">
        <v>57.12392904</v>
      </c>
      <c r="F10" s="16">
        <v>1.8160548599999999</v>
      </c>
      <c r="G10" s="14">
        <v>42.87607096</v>
      </c>
      <c r="H10" s="16">
        <v>1.8160548599999999</v>
      </c>
      <c r="I10" s="14" t="s">
        <v>139</v>
      </c>
      <c r="J10" s="16" t="s">
        <v>139</v>
      </c>
      <c r="K10" s="14">
        <v>0</v>
      </c>
      <c r="L10" s="16">
        <v>0</v>
      </c>
      <c r="M10" s="14">
        <v>0</v>
      </c>
      <c r="N10" s="16">
        <v>0</v>
      </c>
      <c r="O10" s="14">
        <v>0</v>
      </c>
      <c r="P10" s="16">
        <v>0</v>
      </c>
      <c r="Q10" s="14">
        <v>0</v>
      </c>
      <c r="R10" s="16">
        <v>0</v>
      </c>
    </row>
    <row r="11" spans="1:18" x14ac:dyDescent="0.25">
      <c r="A11" s="11" t="s">
        <v>143</v>
      </c>
      <c r="B11" s="13">
        <v>3553</v>
      </c>
      <c r="C11" s="14">
        <f>(2942/B11*100)</f>
        <v>82.803264846608499</v>
      </c>
      <c r="D11" s="15">
        <v>611</v>
      </c>
      <c r="E11" s="14">
        <v>55.735266510000002</v>
      </c>
      <c r="F11" s="16">
        <v>2.51601192</v>
      </c>
      <c r="G11" s="14">
        <v>44.264733489999998</v>
      </c>
      <c r="H11" s="16">
        <v>2.51601192</v>
      </c>
      <c r="I11" s="14" t="s">
        <v>139</v>
      </c>
      <c r="J11" s="16" t="s">
        <v>139</v>
      </c>
      <c r="K11" s="14">
        <v>0</v>
      </c>
      <c r="L11" s="16">
        <v>0</v>
      </c>
      <c r="M11" s="14">
        <v>0</v>
      </c>
      <c r="N11" s="16">
        <v>0</v>
      </c>
      <c r="O11" s="14">
        <v>0</v>
      </c>
      <c r="P11" s="16">
        <v>0</v>
      </c>
      <c r="Q11" s="14">
        <v>0</v>
      </c>
      <c r="R11" s="16">
        <v>0</v>
      </c>
    </row>
    <row r="12" spans="1:18" x14ac:dyDescent="0.25">
      <c r="A12" s="11" t="s">
        <v>144</v>
      </c>
      <c r="B12" s="13">
        <v>3472</v>
      </c>
      <c r="C12" s="14">
        <f>(2858/B12*100)</f>
        <v>82.315668202764982</v>
      </c>
      <c r="D12" s="15">
        <v>614</v>
      </c>
      <c r="E12" s="14">
        <v>57.918790690000002</v>
      </c>
      <c r="F12" s="16">
        <v>2.2918175199999999</v>
      </c>
      <c r="G12" s="14">
        <v>42.081209309999998</v>
      </c>
      <c r="H12" s="16">
        <v>2.2918175199999999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(2992/B13*100)</f>
        <v>84.068558583871877</v>
      </c>
      <c r="D13" s="15">
        <v>567</v>
      </c>
      <c r="E13" s="14">
        <v>43.449927959999997</v>
      </c>
      <c r="F13" s="16">
        <v>2.1466228699999998</v>
      </c>
      <c r="G13" s="14">
        <v>56.550072040000003</v>
      </c>
      <c r="H13" s="16">
        <v>2.1466228699999998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(2317/B14*100)</f>
        <v>82.779564130046452</v>
      </c>
      <c r="D14" s="15">
        <v>482</v>
      </c>
      <c r="E14" s="14">
        <v>47.270171249999997</v>
      </c>
      <c r="F14" s="16">
        <v>2.5880816800000002</v>
      </c>
      <c r="G14" s="14">
        <v>52.729828750000003</v>
      </c>
      <c r="H14" s="16">
        <v>2.5880816800000002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(2507/B15*100)</f>
        <v>83.040741967538921</v>
      </c>
      <c r="D15" s="15">
        <v>512</v>
      </c>
      <c r="E15" s="14">
        <v>44.291261900000002</v>
      </c>
      <c r="F15" s="16">
        <v>2.1561549200000001</v>
      </c>
      <c r="G15" s="14">
        <v>55.708738099999998</v>
      </c>
      <c r="H15" s="16">
        <v>2.1561549200000001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(2509/B16*100)</f>
        <v>83.717050383717051</v>
      </c>
      <c r="D16" s="15">
        <v>488</v>
      </c>
      <c r="E16" s="14">
        <v>52.068811269999998</v>
      </c>
      <c r="F16" s="16">
        <v>2.5239316700000001</v>
      </c>
      <c r="G16" s="14">
        <v>47.931188730000002</v>
      </c>
      <c r="H16" s="16">
        <v>2.5239316700000001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(2790/B17*100)</f>
        <v>84.366495312972475</v>
      </c>
      <c r="D17" s="15">
        <v>517</v>
      </c>
      <c r="E17" s="14">
        <v>49.995140990000003</v>
      </c>
      <c r="F17" s="16">
        <v>2.4537216599999998</v>
      </c>
      <c r="G17" s="14">
        <v>50.004859009999997</v>
      </c>
      <c r="H17" s="16">
        <v>2.4537216599999998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(2346/B18*100)</f>
        <v>83.014861995753719</v>
      </c>
      <c r="D18" s="15">
        <v>480</v>
      </c>
      <c r="E18" s="14">
        <v>63.80972826</v>
      </c>
      <c r="F18" s="16">
        <v>2.5238156599999999</v>
      </c>
      <c r="G18" s="14">
        <v>36.19027174</v>
      </c>
      <c r="H18" s="16">
        <v>2.5238156599999999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(2327/B19*100)</f>
        <v>82.870370370370367</v>
      </c>
      <c r="D19" s="15">
        <v>481</v>
      </c>
      <c r="E19" s="14">
        <v>56.007501570000002</v>
      </c>
      <c r="F19" s="16">
        <v>2.3561418199999999</v>
      </c>
      <c r="G19" s="14">
        <v>43.992498429999998</v>
      </c>
      <c r="H19" s="16">
        <v>2.3561418199999999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(1357/B20*100)</f>
        <v>83.25153374233129</v>
      </c>
      <c r="D20" s="15">
        <v>273</v>
      </c>
      <c r="E20" s="14">
        <v>53.750741089999998</v>
      </c>
      <c r="F20" s="16">
        <v>3.4810567200000002</v>
      </c>
      <c r="G20" s="14">
        <v>46.249258910000002</v>
      </c>
      <c r="H20" s="16">
        <v>3.4810567200000002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(2439/B22*100)</f>
        <v>83.21392016376663</v>
      </c>
      <c r="D22" s="15">
        <v>492</v>
      </c>
      <c r="E22" s="14">
        <v>57.264823389999997</v>
      </c>
      <c r="F22" s="16">
        <v>2.4426529000000001</v>
      </c>
      <c r="G22" s="14">
        <v>42.735176610000003</v>
      </c>
      <c r="H22" s="16">
        <v>2.4426529000000001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(4786/B23*100)</f>
        <v>82.645484372301851</v>
      </c>
      <c r="D23" s="15">
        <v>1005</v>
      </c>
      <c r="E23" s="14">
        <v>60.012474820000001</v>
      </c>
      <c r="F23" s="16">
        <v>2.1902012200000001</v>
      </c>
      <c r="G23" s="14">
        <v>39.987525179999999</v>
      </c>
      <c r="H23" s="16">
        <v>2.1902012200000001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(2771/B24*100)</f>
        <v>83.013780707010184</v>
      </c>
      <c r="D24" s="15">
        <v>567</v>
      </c>
      <c r="E24" s="14">
        <v>48.057082780000002</v>
      </c>
      <c r="F24" s="16">
        <v>2.00047884</v>
      </c>
      <c r="G24" s="14">
        <v>51.942917219999998</v>
      </c>
      <c r="H24" s="16">
        <v>2.00047884</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(2411/B25*100)</f>
        <v>82.795329670329664</v>
      </c>
      <c r="D25" s="15">
        <v>501</v>
      </c>
      <c r="E25" s="14">
        <v>35.94870478</v>
      </c>
      <c r="F25" s="16">
        <v>1.9630861900000001</v>
      </c>
      <c r="G25" s="14">
        <v>64.05129522</v>
      </c>
      <c r="H25" s="16">
        <v>1.9630861900000001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(2043/B26*100)</f>
        <v>83.387755102040813</v>
      </c>
      <c r="D26" s="15">
        <v>407</v>
      </c>
      <c r="E26" s="14">
        <v>58.522213649999998</v>
      </c>
      <c r="F26" s="16">
        <v>2.5131589600000002</v>
      </c>
      <c r="G26" s="14">
        <v>41.477786350000002</v>
      </c>
      <c r="H26" s="16">
        <v>2.5131589600000002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(2178/B27*100)</f>
        <v>83.256880733944953</v>
      </c>
      <c r="D27" s="15">
        <v>438</v>
      </c>
      <c r="E27" s="14">
        <v>58.90748206</v>
      </c>
      <c r="F27" s="16">
        <v>2.5598620799999998</v>
      </c>
      <c r="G27" s="14">
        <v>41.09251794</v>
      </c>
      <c r="H27" s="16">
        <v>2.5598620799999998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(3128/B28*100)</f>
        <v>83.081009296148736</v>
      </c>
      <c r="D28" s="15">
        <v>637</v>
      </c>
      <c r="E28" s="14">
        <v>54.879970190000002</v>
      </c>
      <c r="F28" s="16">
        <v>2.1523969799999998</v>
      </c>
      <c r="G28" s="14">
        <v>45.120029809999998</v>
      </c>
      <c r="H28" s="16">
        <v>2.1523969799999998</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47.734930650000003</v>
      </c>
      <c r="F29" s="16">
        <v>2.31878443</v>
      </c>
      <c r="G29" s="14">
        <v>52.265069349999997</v>
      </c>
      <c r="H29" s="16">
        <v>2.31878443</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(1881/B30*100)</f>
        <v>83.119752540874941</v>
      </c>
      <c r="D30" s="15">
        <v>382</v>
      </c>
      <c r="E30" s="14">
        <v>55.651904250000001</v>
      </c>
      <c r="F30" s="16">
        <v>2.7846545599999999</v>
      </c>
      <c r="G30" s="14">
        <v>44.348095749999999</v>
      </c>
      <c r="H30" s="16">
        <v>2.7846545599999999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(2293/B31*100)</f>
        <v>83.381818181818176</v>
      </c>
      <c r="D31" s="15">
        <v>457</v>
      </c>
      <c r="E31" s="14">
        <v>51.525589080000003</v>
      </c>
      <c r="F31" s="16">
        <v>2.4667236400000001</v>
      </c>
      <c r="G31" s="14">
        <v>48.474410919999997</v>
      </c>
      <c r="H31" s="16">
        <v>2.4667236400000001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(3053/B33*100)</f>
        <v>83.097441480675016</v>
      </c>
      <c r="D33" s="15">
        <v>621</v>
      </c>
      <c r="E33" s="14">
        <v>45.56915197</v>
      </c>
      <c r="F33" s="16">
        <v>2.2899734500000002</v>
      </c>
      <c r="G33" s="14">
        <v>54.43084803</v>
      </c>
      <c r="H33" s="16">
        <v>2.2899734500000002</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(2762/B34*100)</f>
        <v>83.318250377073909</v>
      </c>
      <c r="D34" s="15">
        <v>553</v>
      </c>
      <c r="E34" s="14">
        <v>63.468501359999998</v>
      </c>
      <c r="F34" s="16">
        <v>2.1113678899999999</v>
      </c>
      <c r="G34" s="14">
        <v>36.531498640000002</v>
      </c>
      <c r="H34" s="16">
        <v>2.1113678899999999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55.834361680000001</v>
      </c>
      <c r="F35" s="16">
        <v>2.9345171099999998</v>
      </c>
      <c r="G35" s="14">
        <v>44.165638319999999</v>
      </c>
      <c r="H35" s="16">
        <v>2.9345171099999998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(2749/B36*100)</f>
        <v>82.503001200480199</v>
      </c>
      <c r="D36" s="15">
        <v>583</v>
      </c>
      <c r="E36" s="14">
        <v>54.758572819999998</v>
      </c>
      <c r="F36" s="16">
        <v>1.9946064699999999</v>
      </c>
      <c r="G36" s="14">
        <v>45.241427180000002</v>
      </c>
      <c r="H36" s="16">
        <v>1.9946064699999999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(2278/B37*100)</f>
        <v>83.535020168683545</v>
      </c>
      <c r="D37" s="15">
        <v>449</v>
      </c>
      <c r="E37" s="14">
        <v>46.92903604</v>
      </c>
      <c r="F37" s="16">
        <v>2.39674633</v>
      </c>
      <c r="G37" s="14">
        <v>53.07096396</v>
      </c>
      <c r="H37" s="16">
        <v>2.39674633</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51.674078489999999</v>
      </c>
      <c r="F39" s="16">
        <v>2.4130568800000001</v>
      </c>
      <c r="G39" s="14">
        <v>48.325921510000001</v>
      </c>
      <c r="H39" s="16">
        <v>2.4130568800000001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(6002/B40*100)</f>
        <v>82.957843814789229</v>
      </c>
      <c r="D40" s="15">
        <v>1233</v>
      </c>
      <c r="E40" s="14">
        <v>56.92854234</v>
      </c>
      <c r="F40" s="16">
        <v>2.3333871799999999</v>
      </c>
      <c r="G40" s="14">
        <v>43.07145766</v>
      </c>
      <c r="H40" s="16">
        <v>2.3333871799999999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(2379/B41*100)</f>
        <v>83.240027991602517</v>
      </c>
      <c r="D41" s="15">
        <v>479</v>
      </c>
      <c r="E41" s="14">
        <v>51.58369029</v>
      </c>
      <c r="F41" s="16">
        <v>2.0415039500000001</v>
      </c>
      <c r="G41" s="14">
        <v>48.41630971</v>
      </c>
      <c r="H41" s="16">
        <v>2.0415039500000001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83.145612369732504</v>
      </c>
      <c r="D42" s="15">
        <f>IF(COUNT(D7:D41) &gt; 0, AVERAGE(D7:D41), "—")</f>
        <v>616.375</v>
      </c>
      <c r="E42" s="14">
        <f>IF(COUNT(E7:E41) &gt; 0, AVERAGE(E7:E41), "—")</f>
        <v>52.724363919374987</v>
      </c>
      <c r="F42" s="16">
        <f>IF(COUNT(F7:F41) &gt; 0, SQRT(SUMSQ(F7:F41)/(COUNT(F7:F41)*COUNT(F7:F41)) ), "—")</f>
        <v>0.4158830094462691</v>
      </c>
      <c r="G42" s="14">
        <f>IF(COUNT(G7:G41) &gt; 0, AVERAGE(G7:G41), "—")</f>
        <v>47.275636080625013</v>
      </c>
      <c r="H42" s="16">
        <f>IF(COUNT(H7:H41) &gt; 0, SQRT(SUMSQ(H7:H41)/(COUNT(H7:H41)*COUNT(H7:H41)) ), "—")</f>
        <v>0.4158830094462691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(9380/B46*100)</f>
        <v>84.748825442717745</v>
      </c>
      <c r="D46" s="15">
        <v>1688</v>
      </c>
      <c r="E46" s="14">
        <v>54.078097450000001</v>
      </c>
      <c r="F46" s="16">
        <v>1.70185334</v>
      </c>
      <c r="G46" s="14">
        <v>45.921902549999999</v>
      </c>
      <c r="H46" s="16">
        <v>1.70185334</v>
      </c>
      <c r="I46" s="14" t="s">
        <v>139</v>
      </c>
      <c r="J46" s="16" t="s">
        <v>139</v>
      </c>
      <c r="K46" s="14">
        <v>0</v>
      </c>
      <c r="L46" s="16">
        <v>0</v>
      </c>
      <c r="M46" s="14">
        <v>0</v>
      </c>
      <c r="N46" s="16">
        <v>0</v>
      </c>
      <c r="O46" s="14">
        <v>0</v>
      </c>
      <c r="P46" s="16">
        <v>0</v>
      </c>
      <c r="Q46" s="14">
        <v>0</v>
      </c>
      <c r="R46" s="16">
        <v>0</v>
      </c>
    </row>
    <row r="47" spans="1:18" x14ac:dyDescent="0.25">
      <c r="A47" s="11" t="s">
        <v>180</v>
      </c>
      <c r="B47" s="13">
        <v>3105</v>
      </c>
      <c r="C47" s="14">
        <f>(2586/B47*100)</f>
        <v>83.285024154589365</v>
      </c>
      <c r="D47" s="15">
        <v>519</v>
      </c>
      <c r="E47" s="14">
        <v>58.580463010000003</v>
      </c>
      <c r="F47" s="16">
        <v>2.2887372500000001</v>
      </c>
      <c r="G47" s="14">
        <v>41.419536989999997</v>
      </c>
      <c r="H47" s="16">
        <v>2.2887372500000001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(4283/B48*100)</f>
        <v>83.019965109517344</v>
      </c>
      <c r="D48" s="15">
        <v>876</v>
      </c>
      <c r="E48" s="14">
        <v>37.394451279999998</v>
      </c>
      <c r="F48" s="16">
        <v>2.44367672</v>
      </c>
      <c r="G48" s="14">
        <v>62.605548720000002</v>
      </c>
      <c r="H48" s="16">
        <v>2.44367672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(4665/B50*100)</f>
        <v>82.756785524215005</v>
      </c>
      <c r="D50" s="15">
        <v>972</v>
      </c>
      <c r="E50" s="14">
        <v>54.616076329999999</v>
      </c>
      <c r="F50" s="16">
        <v>2.1293290200000001</v>
      </c>
      <c r="G50" s="14">
        <v>45.383923670000001</v>
      </c>
      <c r="H50" s="16">
        <v>2.1293290200000001</v>
      </c>
      <c r="I50" s="14" t="s">
        <v>139</v>
      </c>
      <c r="J50" s="16" t="s">
        <v>139</v>
      </c>
      <c r="K50" s="14">
        <v>0</v>
      </c>
      <c r="L50" s="16">
        <v>0</v>
      </c>
      <c r="M50" s="14">
        <v>0</v>
      </c>
      <c r="N50" s="16">
        <v>0</v>
      </c>
      <c r="O50" s="14">
        <v>0</v>
      </c>
      <c r="P50" s="16">
        <v>0</v>
      </c>
      <c r="Q50" s="14">
        <v>0</v>
      </c>
      <c r="R50" s="16">
        <v>0</v>
      </c>
    </row>
    <row r="51" spans="1:18" x14ac:dyDescent="0.25">
      <c r="A51" s="11" t="s">
        <v>184</v>
      </c>
      <c r="B51" s="13">
        <v>3372</v>
      </c>
      <c r="C51" s="14">
        <f>(2846/B51*100)</f>
        <v>84.400948991696325</v>
      </c>
      <c r="D51" s="15">
        <v>526</v>
      </c>
      <c r="E51" s="14">
        <v>54.592840240000001</v>
      </c>
      <c r="F51" s="16">
        <v>2.4411065000000001</v>
      </c>
      <c r="G51" s="14">
        <v>45.407159759999999</v>
      </c>
      <c r="H51" s="16">
        <v>2.4411065000000001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(2337/B52*100)</f>
        <v>83.583690987124456</v>
      </c>
      <c r="D52" s="15">
        <v>459</v>
      </c>
      <c r="E52" s="14">
        <v>54.740473209999998</v>
      </c>
      <c r="F52" s="16">
        <v>2.3689278599999999</v>
      </c>
      <c r="G52" s="14">
        <v>45.259526790000002</v>
      </c>
      <c r="H52" s="16">
        <v>2.3689278599999999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(2333/B53*100)</f>
        <v>82.99537531127713</v>
      </c>
      <c r="D53" s="15">
        <v>478</v>
      </c>
      <c r="E53" s="14">
        <v>59.850166850000001</v>
      </c>
      <c r="F53" s="16">
        <v>2.6173495199999999</v>
      </c>
      <c r="G53" s="14">
        <v>40.149833149999999</v>
      </c>
      <c r="H53" s="16">
        <v>2.6173495199999999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(2241/B56*100)</f>
        <v>83.494783904619979</v>
      </c>
      <c r="D56" s="15">
        <v>443</v>
      </c>
      <c r="E56" s="14">
        <v>41.355621399999997</v>
      </c>
      <c r="F56" s="16">
        <v>2.6737709000000001</v>
      </c>
      <c r="G56" s="14">
        <v>58.644378600000003</v>
      </c>
      <c r="H56" s="16">
        <v>2.6737709000000001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(2774/B61*100)</f>
        <v>83.453670276774972</v>
      </c>
      <c r="D61" s="15">
        <v>550</v>
      </c>
      <c r="E61" s="14">
        <v>48.749224910000002</v>
      </c>
      <c r="F61" s="16">
        <v>2.1944081</v>
      </c>
      <c r="G61" s="14">
        <v>51.250775089999998</v>
      </c>
      <c r="H61" s="16">
        <v>2.1944081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(1844/B62*100)</f>
        <v>82.101513802315225</v>
      </c>
      <c r="D62" s="15">
        <v>402</v>
      </c>
      <c r="E62" s="14">
        <v>34.382667810000001</v>
      </c>
      <c r="F62" s="16">
        <v>2.49375707</v>
      </c>
      <c r="G62" s="14">
        <v>65.617332189999999</v>
      </c>
      <c r="H62" s="16">
        <v>2.49375707</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(2430/B66*100)</f>
        <v>83.966827919834145</v>
      </c>
      <c r="D66" s="15">
        <v>464</v>
      </c>
      <c r="E66" s="14">
        <v>57.737765719999999</v>
      </c>
      <c r="F66" s="16">
        <v>2.44617511</v>
      </c>
      <c r="G66" s="14">
        <v>42.262234280000001</v>
      </c>
      <c r="H66" s="16">
        <v>2.44617511</v>
      </c>
      <c r="I66" s="14" t="s">
        <v>139</v>
      </c>
      <c r="J66" s="16" t="s">
        <v>139</v>
      </c>
      <c r="K66" s="14">
        <v>0</v>
      </c>
      <c r="L66" s="16">
        <v>0</v>
      </c>
      <c r="M66" s="14">
        <v>0</v>
      </c>
      <c r="N66" s="16">
        <v>0</v>
      </c>
      <c r="O66" s="14">
        <v>0</v>
      </c>
      <c r="P66" s="16">
        <v>0</v>
      </c>
      <c r="Q66" s="14">
        <v>0</v>
      </c>
      <c r="R66" s="16">
        <v>0</v>
      </c>
    </row>
    <row r="67" spans="1:18" x14ac:dyDescent="0.25">
      <c r="A67" s="11" t="s">
        <v>200</v>
      </c>
      <c r="B67" s="13">
        <v>3511</v>
      </c>
      <c r="C67" s="14">
        <f>(2944/B67*100)</f>
        <v>83.850754770720599</v>
      </c>
      <c r="D67" s="15">
        <v>567</v>
      </c>
      <c r="E67" s="14">
        <v>57.731506469999999</v>
      </c>
      <c r="F67" s="16">
        <v>2.2672991100000002</v>
      </c>
      <c r="G67" s="14">
        <v>42.268493530000001</v>
      </c>
      <c r="H67" s="16">
        <v>2.2672991100000002</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(2433/B70*100)</f>
        <v>83.065892796176172</v>
      </c>
      <c r="D70" s="15">
        <v>496</v>
      </c>
      <c r="E70" s="14">
        <v>52.259302230000003</v>
      </c>
      <c r="F70" s="16">
        <v>2.7202245500000002</v>
      </c>
      <c r="G70" s="14">
        <v>47.740697769999997</v>
      </c>
      <c r="H70" s="16">
        <v>2.7202245500000002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(3209/B72*100)</f>
        <v>82.514785291848796</v>
      </c>
      <c r="D72" s="15">
        <v>680</v>
      </c>
      <c r="E72" s="14">
        <v>40.023874130000003</v>
      </c>
      <c r="F72" s="16">
        <v>1.69394874</v>
      </c>
      <c r="G72" s="14">
        <v>59.976125869999997</v>
      </c>
      <c r="H72" s="16">
        <v>1.69394874</v>
      </c>
      <c r="I72" s="14" t="s">
        <v>139</v>
      </c>
      <c r="J72" s="16" t="s">
        <v>139</v>
      </c>
      <c r="K72" s="14">
        <v>0</v>
      </c>
      <c r="L72" s="16">
        <v>0</v>
      </c>
      <c r="M72" s="14">
        <v>0</v>
      </c>
      <c r="N72" s="16">
        <v>0</v>
      </c>
      <c r="O72" s="14">
        <v>0</v>
      </c>
      <c r="P72" s="16">
        <v>0</v>
      </c>
      <c r="Q72" s="14">
        <v>0</v>
      </c>
      <c r="R72" s="16">
        <v>0</v>
      </c>
    </row>
    <row r="73" spans="1:18" x14ac:dyDescent="0.25">
      <c r="A73" s="11" t="s">
        <v>206</v>
      </c>
      <c r="B73" s="13">
        <v>3597</v>
      </c>
      <c r="C73" s="14">
        <f>(2976/B73*100)</f>
        <v>82.735613010842371</v>
      </c>
      <c r="D73" s="15">
        <v>621</v>
      </c>
      <c r="E73" s="14">
        <v>39.611683220000003</v>
      </c>
      <c r="F73" s="16">
        <v>2.2267936499999998</v>
      </c>
      <c r="G73" s="14">
        <v>60.388316779999997</v>
      </c>
      <c r="H73" s="16">
        <v>2.2267936499999998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(2027/B75*100)</f>
        <v>84.247714048212799</v>
      </c>
      <c r="D75" s="15">
        <v>379</v>
      </c>
      <c r="E75" s="14">
        <v>65.322014159999995</v>
      </c>
      <c r="F75" s="16">
        <v>2.83269394</v>
      </c>
      <c r="G75" s="14">
        <v>34.677985839999998</v>
      </c>
      <c r="H75" s="16">
        <v>2.83269394</v>
      </c>
      <c r="I75" s="14" t="s">
        <v>139</v>
      </c>
      <c r="J75" s="16" t="s">
        <v>139</v>
      </c>
      <c r="K75" s="14">
        <v>0</v>
      </c>
      <c r="L75" s="16">
        <v>0</v>
      </c>
      <c r="M75" s="14">
        <v>0</v>
      </c>
      <c r="N75" s="16">
        <v>0</v>
      </c>
      <c r="O75" s="14">
        <v>0</v>
      </c>
      <c r="P75" s="16">
        <v>0</v>
      </c>
      <c r="Q75" s="14">
        <v>0</v>
      </c>
      <c r="R75" s="16">
        <v>0</v>
      </c>
    </row>
    <row r="76" spans="1:18" x14ac:dyDescent="0.25">
      <c r="A76" s="11" t="s">
        <v>209</v>
      </c>
      <c r="B76" s="13">
        <v>7052</v>
      </c>
      <c r="C76" s="14">
        <f>(5858/B76*100)</f>
        <v>83.068633011911515</v>
      </c>
      <c r="D76" s="15">
        <v>1194</v>
      </c>
      <c r="E76" s="14">
        <v>60.774117420000003</v>
      </c>
      <c r="F76" s="16">
        <v>1.2989141500000001</v>
      </c>
      <c r="G76" s="14">
        <v>39.225882579999997</v>
      </c>
      <c r="H76" s="16">
        <v>1.2989141500000001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(2439/B77*100)</f>
        <v>83.872077028885826</v>
      </c>
      <c r="D77" s="15">
        <v>469</v>
      </c>
      <c r="E77" s="14">
        <v>57.395358639999998</v>
      </c>
      <c r="F77" s="16">
        <v>2.4596009400000001</v>
      </c>
      <c r="G77" s="14">
        <v>42.604641360000002</v>
      </c>
      <c r="H77" s="16">
        <v>2.4596009400000001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(3449/B81*100)</f>
        <v>82.848907038193602</v>
      </c>
      <c r="D81" s="15">
        <v>714</v>
      </c>
      <c r="E81" s="14">
        <v>51.098741269999998</v>
      </c>
      <c r="F81" s="16">
        <v>2.2336191099999998</v>
      </c>
      <c r="G81" s="14">
        <v>48.901258730000002</v>
      </c>
      <c r="H81" s="16">
        <v>2.2336191099999998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310</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(6141/B7*100)</f>
        <v>83.358219085109269</v>
      </c>
      <c r="D7" s="15">
        <v>1226</v>
      </c>
      <c r="E7" s="14">
        <v>29.446014569999999</v>
      </c>
      <c r="F7" s="16">
        <v>1.42398326</v>
      </c>
      <c r="G7" s="14">
        <v>10.14336123</v>
      </c>
      <c r="H7" s="16">
        <v>0.93158337000000002</v>
      </c>
      <c r="I7" s="14">
        <v>60.410624200000001</v>
      </c>
      <c r="J7" s="16">
        <v>1.53022485</v>
      </c>
      <c r="K7" s="14" t="s">
        <v>139</v>
      </c>
      <c r="L7" s="16" t="s">
        <v>139</v>
      </c>
      <c r="M7" s="14">
        <v>0</v>
      </c>
      <c r="N7" s="16">
        <v>0</v>
      </c>
      <c r="O7" s="14">
        <v>0</v>
      </c>
      <c r="P7" s="16">
        <v>0</v>
      </c>
      <c r="Q7" s="14">
        <v>0</v>
      </c>
      <c r="R7" s="16">
        <v>0</v>
      </c>
      <c r="S7" s="14">
        <v>0</v>
      </c>
      <c r="T7" s="16">
        <v>0</v>
      </c>
    </row>
    <row r="8" spans="1:20" x14ac:dyDescent="0.25">
      <c r="A8" s="11" t="s">
        <v>140</v>
      </c>
      <c r="B8" s="13">
        <v>3564</v>
      </c>
      <c r="C8" s="14">
        <f>(2945/B8*100)</f>
        <v>82.631874298540964</v>
      </c>
      <c r="D8" s="15">
        <v>619</v>
      </c>
      <c r="E8" s="14">
        <v>29.689125879999999</v>
      </c>
      <c r="F8" s="16">
        <v>2.2513378899999998</v>
      </c>
      <c r="G8" s="14">
        <v>13.381733179999999</v>
      </c>
      <c r="H8" s="16">
        <v>1.36164865</v>
      </c>
      <c r="I8" s="14">
        <v>56.929140940000003</v>
      </c>
      <c r="J8" s="16">
        <v>2.4487583900000001</v>
      </c>
      <c r="K8" s="14" t="s">
        <v>139</v>
      </c>
      <c r="L8" s="16" t="s">
        <v>139</v>
      </c>
      <c r="M8" s="14">
        <v>0</v>
      </c>
      <c r="N8" s="16">
        <v>0</v>
      </c>
      <c r="O8" s="14">
        <v>0</v>
      </c>
      <c r="P8" s="16">
        <v>0</v>
      </c>
      <c r="Q8" s="14">
        <v>0</v>
      </c>
      <c r="R8" s="16">
        <v>0</v>
      </c>
      <c r="S8" s="14">
        <v>0</v>
      </c>
      <c r="T8" s="16">
        <v>0</v>
      </c>
    </row>
    <row r="9" spans="1:20" x14ac:dyDescent="0.25">
      <c r="A9" s="11" t="s">
        <v>141</v>
      </c>
      <c r="B9" s="13">
        <v>4899</v>
      </c>
      <c r="C9" s="14">
        <f>(4081/B9*100)</f>
        <v>83.302714839763212</v>
      </c>
      <c r="D9" s="15">
        <v>818</v>
      </c>
      <c r="E9" s="14">
        <v>30.594781990000001</v>
      </c>
      <c r="F9" s="16">
        <v>1.8307965100000001</v>
      </c>
      <c r="G9" s="14">
        <v>17.399320379999999</v>
      </c>
      <c r="H9" s="16">
        <v>1.1836175600000001</v>
      </c>
      <c r="I9" s="14">
        <v>52.005897619999999</v>
      </c>
      <c r="J9" s="16">
        <v>1.9004697699999999</v>
      </c>
      <c r="K9" s="14" t="s">
        <v>139</v>
      </c>
      <c r="L9" s="16" t="s">
        <v>139</v>
      </c>
      <c r="M9" s="14">
        <v>0</v>
      </c>
      <c r="N9" s="16">
        <v>0</v>
      </c>
      <c r="O9" s="14">
        <v>0</v>
      </c>
      <c r="P9" s="16">
        <v>0</v>
      </c>
      <c r="Q9" s="14">
        <v>0</v>
      </c>
      <c r="R9" s="16">
        <v>0</v>
      </c>
      <c r="S9" s="14">
        <v>0</v>
      </c>
      <c r="T9" s="16">
        <v>0</v>
      </c>
    </row>
    <row r="10" spans="1:20" x14ac:dyDescent="0.25">
      <c r="A10" s="11" t="s">
        <v>142</v>
      </c>
      <c r="B10" s="13">
        <v>10036</v>
      </c>
      <c r="C10" s="14">
        <f>(8354/B10*100)</f>
        <v>83.240334794738942</v>
      </c>
      <c r="D10" s="15">
        <v>1682</v>
      </c>
      <c r="E10" s="14">
        <v>27.318647550000001</v>
      </c>
      <c r="F10" s="16">
        <v>1.41437459</v>
      </c>
      <c r="G10" s="14">
        <v>12.37169514</v>
      </c>
      <c r="H10" s="16">
        <v>1.1398883799999999</v>
      </c>
      <c r="I10" s="14">
        <v>60.309657319999999</v>
      </c>
      <c r="J10" s="16">
        <v>1.50250455</v>
      </c>
      <c r="K10" s="14" t="s">
        <v>139</v>
      </c>
      <c r="L10" s="16" t="s">
        <v>139</v>
      </c>
      <c r="M10" s="14">
        <v>0</v>
      </c>
      <c r="N10" s="16">
        <v>0</v>
      </c>
      <c r="O10" s="14">
        <v>0</v>
      </c>
      <c r="P10" s="16">
        <v>0</v>
      </c>
      <c r="Q10" s="14">
        <v>0</v>
      </c>
      <c r="R10" s="16">
        <v>0</v>
      </c>
      <c r="S10" s="14">
        <v>0</v>
      </c>
      <c r="T10" s="16">
        <v>0</v>
      </c>
    </row>
    <row r="11" spans="1:20" x14ac:dyDescent="0.25">
      <c r="A11" s="11" t="s">
        <v>143</v>
      </c>
      <c r="B11" s="13">
        <v>3553</v>
      </c>
      <c r="C11" s="14">
        <f>(2952/B11*100)</f>
        <v>83.084717140444695</v>
      </c>
      <c r="D11" s="15">
        <v>601</v>
      </c>
      <c r="E11" s="14">
        <v>40.669009809999999</v>
      </c>
      <c r="F11" s="16">
        <v>2.3255667999999998</v>
      </c>
      <c r="G11" s="14">
        <v>15.95907575</v>
      </c>
      <c r="H11" s="16">
        <v>1.8918344499999999</v>
      </c>
      <c r="I11" s="14">
        <v>43.371914449999998</v>
      </c>
      <c r="J11" s="16">
        <v>2.4796305300000001</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(2862/B12*100)</f>
        <v>82.430875576036868</v>
      </c>
      <c r="D12" s="15">
        <v>610</v>
      </c>
      <c r="E12" s="14">
        <v>28.159655699999998</v>
      </c>
      <c r="F12" s="16">
        <v>1.85135128</v>
      </c>
      <c r="G12" s="14">
        <v>19.08508157</v>
      </c>
      <c r="H12" s="16">
        <v>1.6179336600000001</v>
      </c>
      <c r="I12" s="14">
        <v>52.755262739999999</v>
      </c>
      <c r="J12" s="16">
        <v>2.4392331500000002</v>
      </c>
      <c r="K12" s="14" t="s">
        <v>139</v>
      </c>
      <c r="L12" s="16" t="s">
        <v>139</v>
      </c>
      <c r="M12" s="14">
        <v>0</v>
      </c>
      <c r="N12" s="16">
        <v>0</v>
      </c>
      <c r="O12" s="14">
        <v>0</v>
      </c>
      <c r="P12" s="16">
        <v>0</v>
      </c>
      <c r="Q12" s="14">
        <v>0</v>
      </c>
      <c r="R12" s="16">
        <v>0</v>
      </c>
      <c r="S12" s="14">
        <v>0</v>
      </c>
      <c r="T12" s="16">
        <v>0</v>
      </c>
    </row>
    <row r="13" spans="1:20" x14ac:dyDescent="0.25">
      <c r="A13" s="11" t="s">
        <v>145</v>
      </c>
      <c r="B13" s="13">
        <v>3559</v>
      </c>
      <c r="C13" s="14">
        <f>(2994/B13*100)</f>
        <v>84.124754144422582</v>
      </c>
      <c r="D13" s="15">
        <v>565</v>
      </c>
      <c r="E13" s="14">
        <v>27.473457740000001</v>
      </c>
      <c r="F13" s="16">
        <v>2.0008439500000001</v>
      </c>
      <c r="G13" s="14">
        <v>17.389381539999999</v>
      </c>
      <c r="H13" s="16">
        <v>1.8599406999999999</v>
      </c>
      <c r="I13" s="14">
        <v>55.137160719999997</v>
      </c>
      <c r="J13" s="16">
        <v>2.2027547099999998</v>
      </c>
      <c r="K13" s="14" t="s">
        <v>139</v>
      </c>
      <c r="L13" s="16" t="s">
        <v>139</v>
      </c>
      <c r="M13" s="14">
        <v>0</v>
      </c>
      <c r="N13" s="16">
        <v>0</v>
      </c>
      <c r="O13" s="14">
        <v>0</v>
      </c>
      <c r="P13" s="16">
        <v>0</v>
      </c>
      <c r="Q13" s="14">
        <v>0</v>
      </c>
      <c r="R13" s="16">
        <v>0</v>
      </c>
      <c r="S13" s="14">
        <v>0</v>
      </c>
      <c r="T13" s="16">
        <v>0</v>
      </c>
    </row>
    <row r="14" spans="1:20" x14ac:dyDescent="0.25">
      <c r="A14" s="11" t="s">
        <v>146</v>
      </c>
      <c r="B14" s="13">
        <v>2799</v>
      </c>
      <c r="C14" s="14">
        <f>(2318/B14*100)</f>
        <v>82.815291175419787</v>
      </c>
      <c r="D14" s="15">
        <v>481</v>
      </c>
      <c r="E14" s="14">
        <v>25.06022274</v>
      </c>
      <c r="F14" s="16">
        <v>2.05876598</v>
      </c>
      <c r="G14" s="14">
        <v>12.85346155</v>
      </c>
      <c r="H14" s="16">
        <v>1.5309485199999999</v>
      </c>
      <c r="I14" s="14">
        <v>62.086315710000001</v>
      </c>
      <c r="J14" s="16">
        <v>2.4977945400000001</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(2508/B15*100)</f>
        <v>83.07386551838357</v>
      </c>
      <c r="D15" s="15">
        <v>511</v>
      </c>
      <c r="E15" s="14">
        <v>31.054191169999999</v>
      </c>
      <c r="F15" s="16">
        <v>2.2421061099999999</v>
      </c>
      <c r="G15" s="14">
        <v>16.70998891</v>
      </c>
      <c r="H15" s="16">
        <v>1.7627906900000001</v>
      </c>
      <c r="I15" s="14">
        <v>52.235819909999996</v>
      </c>
      <c r="J15" s="16">
        <v>2.3914013999999999</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(2512/B16*100)</f>
        <v>83.817150483817144</v>
      </c>
      <c r="D16" s="15">
        <v>485</v>
      </c>
      <c r="E16" s="14">
        <v>32.52931555</v>
      </c>
      <c r="F16" s="16">
        <v>1.96026034</v>
      </c>
      <c r="G16" s="14">
        <v>17.29756399</v>
      </c>
      <c r="H16" s="16">
        <v>1.8634360999999999</v>
      </c>
      <c r="I16" s="14">
        <v>50.17312046</v>
      </c>
      <c r="J16" s="16">
        <v>2.3112533599999998</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(2790/B17*100)</f>
        <v>84.366495312972475</v>
      </c>
      <c r="D17" s="15">
        <v>517</v>
      </c>
      <c r="E17" s="14">
        <v>28.787739049999999</v>
      </c>
      <c r="F17" s="16">
        <v>2.0948462700000001</v>
      </c>
      <c r="G17" s="14">
        <v>11.67111527</v>
      </c>
      <c r="H17" s="16">
        <v>1.5685096599999999</v>
      </c>
      <c r="I17" s="14">
        <v>59.541145669999999</v>
      </c>
      <c r="J17" s="16">
        <v>2.3521900499999999</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(2345/B18*100)</f>
        <v>82.979476291578209</v>
      </c>
      <c r="D18" s="15">
        <v>481</v>
      </c>
      <c r="E18" s="14">
        <v>42.156473220000002</v>
      </c>
      <c r="F18" s="16">
        <v>2.4611124599999998</v>
      </c>
      <c r="G18" s="14">
        <v>16.715110299999999</v>
      </c>
      <c r="H18" s="16">
        <v>1.9156350900000001</v>
      </c>
      <c r="I18" s="14">
        <v>41.128416479999999</v>
      </c>
      <c r="J18" s="16">
        <v>2.27452641</v>
      </c>
      <c r="K18" s="14" t="s">
        <v>139</v>
      </c>
      <c r="L18" s="16" t="s">
        <v>139</v>
      </c>
      <c r="M18" s="14">
        <v>0</v>
      </c>
      <c r="N18" s="16">
        <v>0</v>
      </c>
      <c r="O18" s="14">
        <v>0</v>
      </c>
      <c r="P18" s="16">
        <v>0</v>
      </c>
      <c r="Q18" s="14">
        <v>0</v>
      </c>
      <c r="R18" s="16">
        <v>0</v>
      </c>
      <c r="S18" s="14">
        <v>0</v>
      </c>
      <c r="T18" s="16">
        <v>0</v>
      </c>
    </row>
    <row r="19" spans="1:20" x14ac:dyDescent="0.25">
      <c r="A19" s="11" t="s">
        <v>151</v>
      </c>
      <c r="B19" s="13">
        <v>2808</v>
      </c>
      <c r="C19" s="14">
        <f>(2332/B19*100)</f>
        <v>83.04843304843304</v>
      </c>
      <c r="D19" s="15">
        <v>476</v>
      </c>
      <c r="E19" s="14">
        <v>37.634818729999999</v>
      </c>
      <c r="F19" s="16">
        <v>2.59079199</v>
      </c>
      <c r="G19" s="14">
        <v>21.490955750000001</v>
      </c>
      <c r="H19" s="16">
        <v>1.99323933</v>
      </c>
      <c r="I19" s="14">
        <v>40.874225520000003</v>
      </c>
      <c r="J19" s="16">
        <v>2.6751558200000001</v>
      </c>
      <c r="K19" s="14" t="s">
        <v>139</v>
      </c>
      <c r="L19" s="16" t="s">
        <v>139</v>
      </c>
      <c r="M19" s="14">
        <v>0</v>
      </c>
      <c r="N19" s="16">
        <v>0</v>
      </c>
      <c r="O19" s="14">
        <v>0</v>
      </c>
      <c r="P19" s="16">
        <v>0</v>
      </c>
      <c r="Q19" s="14">
        <v>0</v>
      </c>
      <c r="R19" s="16">
        <v>0</v>
      </c>
      <c r="S19" s="14">
        <v>0</v>
      </c>
      <c r="T19" s="16">
        <v>0</v>
      </c>
    </row>
    <row r="20" spans="1:20" x14ac:dyDescent="0.25">
      <c r="A20" s="11" t="s">
        <v>152</v>
      </c>
      <c r="B20" s="13">
        <v>1630</v>
      </c>
      <c r="C20" s="14">
        <f>(1359/B20*100)</f>
        <v>83.374233128834348</v>
      </c>
      <c r="D20" s="15">
        <v>271</v>
      </c>
      <c r="E20" s="14">
        <v>34.35200399</v>
      </c>
      <c r="F20" s="16">
        <v>2.9762163099999999</v>
      </c>
      <c r="G20" s="14">
        <v>11.059482750000001</v>
      </c>
      <c r="H20" s="16">
        <v>1.84496887</v>
      </c>
      <c r="I20" s="14">
        <v>54.588513259999999</v>
      </c>
      <c r="J20" s="16">
        <v>3.1747608399999998</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(2443/B22*100)</f>
        <v>83.350392357557141</v>
      </c>
      <c r="D22" s="15">
        <v>488</v>
      </c>
      <c r="E22" s="14">
        <v>38.207599940000001</v>
      </c>
      <c r="F22" s="16">
        <v>2.4231738900000002</v>
      </c>
      <c r="G22" s="14">
        <v>14.89771914</v>
      </c>
      <c r="H22" s="16">
        <v>1.78203994</v>
      </c>
      <c r="I22" s="14">
        <v>46.894680919999999</v>
      </c>
      <c r="J22" s="16">
        <v>2.59610143</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(4792/B23*100)</f>
        <v>82.749093420825417</v>
      </c>
      <c r="D23" s="15">
        <v>999</v>
      </c>
      <c r="E23" s="14">
        <v>32.990255879999999</v>
      </c>
      <c r="F23" s="16">
        <v>2.3703929000000001</v>
      </c>
      <c r="G23" s="14">
        <v>18.741653400000001</v>
      </c>
      <c r="H23" s="16">
        <v>1.4523164900000001</v>
      </c>
      <c r="I23" s="14">
        <v>48.268090719999996</v>
      </c>
      <c r="J23" s="16">
        <v>2.1693950399999999</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(2774/B24*100)</f>
        <v>83.103654883163571</v>
      </c>
      <c r="D24" s="15">
        <v>564</v>
      </c>
      <c r="E24" s="14">
        <v>56.733425019999999</v>
      </c>
      <c r="F24" s="16">
        <v>2.3182171399999998</v>
      </c>
      <c r="G24" s="14">
        <v>22.630076370000001</v>
      </c>
      <c r="H24" s="16">
        <v>1.8063205</v>
      </c>
      <c r="I24" s="14">
        <v>20.636498620000001</v>
      </c>
      <c r="J24" s="16">
        <v>1.69618881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26.88054318</v>
      </c>
      <c r="F25" s="16">
        <v>1.87936693</v>
      </c>
      <c r="G25" s="14">
        <v>13.55294591</v>
      </c>
      <c r="H25" s="16">
        <v>1.2512969700000001</v>
      </c>
      <c r="I25" s="14">
        <v>59.566510909999998</v>
      </c>
      <c r="J25" s="16">
        <v>2.1449431400000001</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(2045/B26*100)</f>
        <v>83.469387755102048</v>
      </c>
      <c r="D26" s="15">
        <v>405</v>
      </c>
      <c r="E26" s="14">
        <v>40.828839879999997</v>
      </c>
      <c r="F26" s="16">
        <v>2.21212104</v>
      </c>
      <c r="G26" s="14">
        <v>13.37606495</v>
      </c>
      <c r="H26" s="16">
        <v>1.71915682</v>
      </c>
      <c r="I26" s="14">
        <v>45.795095160000002</v>
      </c>
      <c r="J26" s="16">
        <v>2.5141944700000001</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(2182/B27*100)</f>
        <v>83.409785932721718</v>
      </c>
      <c r="D27" s="15">
        <v>434</v>
      </c>
      <c r="E27" s="14">
        <v>34.849764190000002</v>
      </c>
      <c r="F27" s="16">
        <v>2.3762889</v>
      </c>
      <c r="G27" s="14">
        <v>16.42173975</v>
      </c>
      <c r="H27" s="16">
        <v>1.6886089799999999</v>
      </c>
      <c r="I27" s="14">
        <v>48.728496049999997</v>
      </c>
      <c r="J27" s="16">
        <v>2.4034252299999999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(3145/B28*100)</f>
        <v>83.53253652058433</v>
      </c>
      <c r="D28" s="15">
        <v>620</v>
      </c>
      <c r="E28" s="14">
        <v>42.252001780000001</v>
      </c>
      <c r="F28" s="16">
        <v>2.2854032800000001</v>
      </c>
      <c r="G28" s="14">
        <v>13.27546911</v>
      </c>
      <c r="H28" s="16">
        <v>1.52025896</v>
      </c>
      <c r="I28" s="14">
        <v>44.472529110000004</v>
      </c>
      <c r="J28" s="16">
        <v>2.5333230699999998</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28.221286379999999</v>
      </c>
      <c r="F29" s="16">
        <v>2.2444900799999998</v>
      </c>
      <c r="G29" s="14">
        <v>22.304804390000001</v>
      </c>
      <c r="H29" s="16">
        <v>1.9558122200000001</v>
      </c>
      <c r="I29" s="14">
        <v>49.473909229999997</v>
      </c>
      <c r="J29" s="16">
        <v>2.2433428900000001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(1886/B30*100)</f>
        <v>83.340698188245682</v>
      </c>
      <c r="D30" s="15">
        <v>377</v>
      </c>
      <c r="E30" s="14">
        <v>32.130779789999998</v>
      </c>
      <c r="F30" s="16">
        <v>2.70921623</v>
      </c>
      <c r="G30" s="14">
        <v>10.930351590000001</v>
      </c>
      <c r="H30" s="16">
        <v>1.59039402</v>
      </c>
      <c r="I30" s="14">
        <v>56.93886861</v>
      </c>
      <c r="J30" s="16">
        <v>2.4247851800000002</v>
      </c>
      <c r="K30" s="14" t="s">
        <v>139</v>
      </c>
      <c r="L30" s="16" t="s">
        <v>139</v>
      </c>
      <c r="M30" s="14">
        <v>0</v>
      </c>
      <c r="N30" s="16">
        <v>0</v>
      </c>
      <c r="O30" s="14">
        <v>0</v>
      </c>
      <c r="P30" s="16">
        <v>0</v>
      </c>
      <c r="Q30" s="14">
        <v>0</v>
      </c>
      <c r="R30" s="16">
        <v>0</v>
      </c>
      <c r="S30" s="14">
        <v>0</v>
      </c>
      <c r="T30" s="16">
        <v>0</v>
      </c>
    </row>
    <row r="31" spans="1:20" x14ac:dyDescent="0.25">
      <c r="A31" s="11" t="s">
        <v>164</v>
      </c>
      <c r="B31" s="13">
        <v>2750</v>
      </c>
      <c r="C31" s="14">
        <f>(2295/B31*100)</f>
        <v>83.454545454545453</v>
      </c>
      <c r="D31" s="15">
        <v>455</v>
      </c>
      <c r="E31" s="14">
        <v>30.785315539999999</v>
      </c>
      <c r="F31" s="16">
        <v>1.9466154899999999</v>
      </c>
      <c r="G31" s="14">
        <v>17.501096100000002</v>
      </c>
      <c r="H31" s="16">
        <v>1.71277042</v>
      </c>
      <c r="I31" s="14">
        <v>51.713588350000002</v>
      </c>
      <c r="J31" s="16">
        <v>2.3748128799999999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(3055/B33*100)</f>
        <v>83.151878062057705</v>
      </c>
      <c r="D33" s="15">
        <v>619</v>
      </c>
      <c r="E33" s="14">
        <v>32.03810507</v>
      </c>
      <c r="F33" s="16">
        <v>2.0637429799999998</v>
      </c>
      <c r="G33" s="14">
        <v>12.60849683</v>
      </c>
      <c r="H33" s="16">
        <v>1.2846511700000001</v>
      </c>
      <c r="I33" s="14">
        <v>55.353398110000001</v>
      </c>
      <c r="J33" s="16">
        <v>2.1905878300000001</v>
      </c>
      <c r="K33" s="14" t="s">
        <v>139</v>
      </c>
      <c r="L33" s="16" t="s">
        <v>139</v>
      </c>
      <c r="M33" s="14">
        <v>0</v>
      </c>
      <c r="N33" s="16">
        <v>0</v>
      </c>
      <c r="O33" s="14">
        <v>0</v>
      </c>
      <c r="P33" s="16">
        <v>0</v>
      </c>
      <c r="Q33" s="14">
        <v>0</v>
      </c>
      <c r="R33" s="16">
        <v>0</v>
      </c>
      <c r="S33" s="14">
        <v>0</v>
      </c>
      <c r="T33" s="16">
        <v>0</v>
      </c>
    </row>
    <row r="34" spans="1:20" x14ac:dyDescent="0.25">
      <c r="A34" s="11" t="s">
        <v>167</v>
      </c>
      <c r="B34" s="13">
        <v>3315</v>
      </c>
      <c r="C34" s="14">
        <f>(2767/B34*100)</f>
        <v>83.469079939668177</v>
      </c>
      <c r="D34" s="15">
        <v>548</v>
      </c>
      <c r="E34" s="14">
        <v>44.304822110000003</v>
      </c>
      <c r="F34" s="16">
        <v>2.3588852999999999</v>
      </c>
      <c r="G34" s="14">
        <v>15.18157057</v>
      </c>
      <c r="H34" s="16">
        <v>1.6722930600000001</v>
      </c>
      <c r="I34" s="14">
        <v>40.513607329999999</v>
      </c>
      <c r="J34" s="16">
        <v>2.1667588599999998</v>
      </c>
      <c r="K34" s="14" t="s">
        <v>139</v>
      </c>
      <c r="L34" s="16" t="s">
        <v>139</v>
      </c>
      <c r="M34" s="14">
        <v>0</v>
      </c>
      <c r="N34" s="16">
        <v>0</v>
      </c>
      <c r="O34" s="14">
        <v>0</v>
      </c>
      <c r="P34" s="16">
        <v>0</v>
      </c>
      <c r="Q34" s="14">
        <v>0</v>
      </c>
      <c r="R34" s="16">
        <v>0</v>
      </c>
      <c r="S34" s="14">
        <v>0</v>
      </c>
      <c r="T34" s="16">
        <v>0</v>
      </c>
    </row>
    <row r="35" spans="1:20" x14ac:dyDescent="0.25">
      <c r="A35" s="11" t="s">
        <v>168</v>
      </c>
      <c r="B35" s="13">
        <v>3505</v>
      </c>
      <c r="C35" s="14">
        <f>(2927/B35*100)</f>
        <v>83.509272467902989</v>
      </c>
      <c r="D35" s="15">
        <v>578</v>
      </c>
      <c r="E35" s="14">
        <v>46.706493369999997</v>
      </c>
      <c r="F35" s="16">
        <v>2.6877583999999999</v>
      </c>
      <c r="G35" s="14">
        <v>10.510143149999999</v>
      </c>
      <c r="H35" s="16">
        <v>1.6199623700000001</v>
      </c>
      <c r="I35" s="14">
        <v>42.783363479999998</v>
      </c>
      <c r="J35" s="16">
        <v>2.8764365399999998</v>
      </c>
      <c r="K35" s="14" t="s">
        <v>139</v>
      </c>
      <c r="L35" s="16" t="s">
        <v>139</v>
      </c>
      <c r="M35" s="14">
        <v>0</v>
      </c>
      <c r="N35" s="16">
        <v>0</v>
      </c>
      <c r="O35" s="14">
        <v>0</v>
      </c>
      <c r="P35" s="16">
        <v>0</v>
      </c>
      <c r="Q35" s="14">
        <v>0</v>
      </c>
      <c r="R35" s="16">
        <v>0</v>
      </c>
      <c r="S35" s="14">
        <v>0</v>
      </c>
      <c r="T35" s="16">
        <v>0</v>
      </c>
    </row>
    <row r="36" spans="1:20" x14ac:dyDescent="0.25">
      <c r="A36" s="11" t="s">
        <v>169</v>
      </c>
      <c r="B36" s="13">
        <v>3332</v>
      </c>
      <c r="C36" s="14">
        <f>(2754/B36*100)</f>
        <v>82.653061224489804</v>
      </c>
      <c r="D36" s="15">
        <v>578</v>
      </c>
      <c r="E36" s="14">
        <v>28.18469765</v>
      </c>
      <c r="F36" s="16">
        <v>1.9498608399999999</v>
      </c>
      <c r="G36" s="14">
        <v>17.793204360000001</v>
      </c>
      <c r="H36" s="16">
        <v>1.5625092599999999</v>
      </c>
      <c r="I36" s="14">
        <v>54.022097989999999</v>
      </c>
      <c r="J36" s="16">
        <v>2.1167157400000001</v>
      </c>
      <c r="K36" s="14" t="s">
        <v>139</v>
      </c>
      <c r="L36" s="16" t="s">
        <v>139</v>
      </c>
      <c r="M36" s="14">
        <v>0</v>
      </c>
      <c r="N36" s="16">
        <v>0</v>
      </c>
      <c r="O36" s="14">
        <v>0</v>
      </c>
      <c r="P36" s="16">
        <v>0</v>
      </c>
      <c r="Q36" s="14">
        <v>0</v>
      </c>
      <c r="R36" s="16">
        <v>0</v>
      </c>
      <c r="S36" s="14">
        <v>0</v>
      </c>
      <c r="T36" s="16">
        <v>0</v>
      </c>
    </row>
    <row r="37" spans="1:20" x14ac:dyDescent="0.25">
      <c r="A37" s="11" t="s">
        <v>170</v>
      </c>
      <c r="B37" s="13">
        <v>2727</v>
      </c>
      <c r="C37" s="14">
        <f>(2285/B37*100)</f>
        <v>83.791712504583799</v>
      </c>
      <c r="D37" s="15">
        <v>442</v>
      </c>
      <c r="E37" s="14">
        <v>36.127768289999999</v>
      </c>
      <c r="F37" s="16">
        <v>2.2663302000000001</v>
      </c>
      <c r="G37" s="14">
        <v>18.112253890000002</v>
      </c>
      <c r="H37" s="16">
        <v>1.8464559899999999</v>
      </c>
      <c r="I37" s="14">
        <v>45.759977810000002</v>
      </c>
      <c r="J37" s="16">
        <v>2.1516984799999999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51.683419309999998</v>
      </c>
      <c r="F39" s="16">
        <v>3.1809546800000001</v>
      </c>
      <c r="G39" s="14">
        <v>14.20155737</v>
      </c>
      <c r="H39" s="16">
        <v>2.1457000599999998</v>
      </c>
      <c r="I39" s="14">
        <v>34.115023319999999</v>
      </c>
      <c r="J39" s="16">
        <v>2.6375653799999998</v>
      </c>
      <c r="K39" s="14" t="s">
        <v>139</v>
      </c>
      <c r="L39" s="16" t="s">
        <v>139</v>
      </c>
      <c r="M39" s="14">
        <v>0</v>
      </c>
      <c r="N39" s="16">
        <v>0</v>
      </c>
      <c r="O39" s="14">
        <v>0</v>
      </c>
      <c r="P39" s="16">
        <v>0</v>
      </c>
      <c r="Q39" s="14">
        <v>0</v>
      </c>
      <c r="R39" s="16">
        <v>0</v>
      </c>
      <c r="S39" s="14">
        <v>0</v>
      </c>
      <c r="T39" s="16">
        <v>0</v>
      </c>
    </row>
    <row r="40" spans="1:20" x14ac:dyDescent="0.25">
      <c r="A40" s="11" t="s">
        <v>173</v>
      </c>
      <c r="B40" s="13">
        <v>7235</v>
      </c>
      <c r="C40" s="14">
        <f>(6008/B40*100)</f>
        <v>83.040774015203866</v>
      </c>
      <c r="D40" s="15">
        <v>1227</v>
      </c>
      <c r="E40" s="14">
        <v>31.63053845</v>
      </c>
      <c r="F40" s="16">
        <v>1.9034654900000001</v>
      </c>
      <c r="G40" s="14">
        <v>11.837027989999999</v>
      </c>
      <c r="H40" s="16">
        <v>1.55940284</v>
      </c>
      <c r="I40" s="14">
        <v>56.532433560000001</v>
      </c>
      <c r="J40" s="16">
        <v>2.1094904400000001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(2382/B41*100)</f>
        <v>83.344996501049678</v>
      </c>
      <c r="D41" s="15">
        <v>476</v>
      </c>
      <c r="E41" s="14">
        <v>31.924471359999998</v>
      </c>
      <c r="F41" s="16">
        <v>2.4340977000000001</v>
      </c>
      <c r="G41" s="14">
        <v>10.231202339999999</v>
      </c>
      <c r="H41" s="16">
        <v>1.5004349400000001</v>
      </c>
      <c r="I41" s="14">
        <v>57.844326299999999</v>
      </c>
      <c r="J41" s="16">
        <v>2.7428643199999998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83.243956312158545</v>
      </c>
      <c r="D42" s="15">
        <f>IF(COUNT(D7:D41) &gt; 0, AVERAGE(D7:D41), "—")</f>
        <v>612.9375</v>
      </c>
      <c r="E42" s="14">
        <f>IF(COUNT(E7:E41) &gt; 0, AVERAGE(E7:E41), "—")</f>
        <v>34.731424527500003</v>
      </c>
      <c r="F42" s="16">
        <f>IF(COUNT(F7:F41) &gt; 0, SQRT(SUMSQ(F7:F41)/(COUNT(F7:F41)*COUNT(F7:F41)) ), "—")</f>
        <v>0.39822648548757511</v>
      </c>
      <c r="G42" s="14">
        <f>IF(COUNT(G7:G41) &gt; 0, AVERAGE(G7:G41), "—")</f>
        <v>15.23858451625</v>
      </c>
      <c r="H42" s="16">
        <f>IF(COUNT(H7:H41) &gt; 0, SQRT(SUMSQ(H7:H41)/(COUNT(H7:H41)*COUNT(H7:H41)) ), "—")</f>
        <v>0.29187819173831991</v>
      </c>
      <c r="I42" s="14">
        <f>IF(COUNT(I7:I41) &gt; 0, AVERAGE(I7:I41), "—")</f>
        <v>50.029990955625003</v>
      </c>
      <c r="J42" s="16">
        <f>IF(COUNT(J7:J41) &gt; 0, SQRT(SUMSQ(J7:J41)/(COUNT(J7:J41)*COUNT(J7:J41)) ), "—")</f>
        <v>0.41481145352964366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(9504/B46*100)</f>
        <v>85.869172388868805</v>
      </c>
      <c r="D46" s="15">
        <v>1564</v>
      </c>
      <c r="E46" s="14">
        <v>53.698274980000001</v>
      </c>
      <c r="F46" s="16">
        <v>1.9104646000000001</v>
      </c>
      <c r="G46" s="14">
        <v>12.253148489999999</v>
      </c>
      <c r="H46" s="16">
        <v>1.2097054</v>
      </c>
      <c r="I46" s="14">
        <v>34.048576529999998</v>
      </c>
      <c r="J46" s="16">
        <v>1.85771449</v>
      </c>
      <c r="K46" s="14" t="s">
        <v>139</v>
      </c>
      <c r="L46" s="16" t="s">
        <v>139</v>
      </c>
      <c r="M46" s="14">
        <v>0</v>
      </c>
      <c r="N46" s="16">
        <v>0</v>
      </c>
      <c r="O46" s="14">
        <v>0</v>
      </c>
      <c r="P46" s="16">
        <v>0</v>
      </c>
      <c r="Q46" s="14">
        <v>0</v>
      </c>
      <c r="R46" s="16">
        <v>0</v>
      </c>
      <c r="S46" s="14">
        <v>0</v>
      </c>
      <c r="T46" s="16">
        <v>0</v>
      </c>
    </row>
    <row r="47" spans="1:20" x14ac:dyDescent="0.25">
      <c r="A47" s="11" t="s">
        <v>180</v>
      </c>
      <c r="B47" s="13">
        <v>3105</v>
      </c>
      <c r="C47" s="14">
        <f>(2595/B47*100)</f>
        <v>83.574879227053145</v>
      </c>
      <c r="D47" s="15">
        <v>510</v>
      </c>
      <c r="E47" s="14">
        <v>42.395961130000003</v>
      </c>
      <c r="F47" s="16">
        <v>2.6720157499999999</v>
      </c>
      <c r="G47" s="14">
        <v>16.697742309999999</v>
      </c>
      <c r="H47" s="16">
        <v>1.6257471800000001</v>
      </c>
      <c r="I47" s="14">
        <v>40.906296560000001</v>
      </c>
      <c r="J47" s="16">
        <v>2.25623927</v>
      </c>
      <c r="K47" s="14" t="s">
        <v>139</v>
      </c>
      <c r="L47" s="16" t="s">
        <v>139</v>
      </c>
      <c r="M47" s="14">
        <v>0</v>
      </c>
      <c r="N47" s="16">
        <v>0</v>
      </c>
      <c r="O47" s="14">
        <v>0</v>
      </c>
      <c r="P47" s="16">
        <v>0</v>
      </c>
      <c r="Q47" s="14">
        <v>0</v>
      </c>
      <c r="R47" s="16">
        <v>0</v>
      </c>
      <c r="S47" s="14">
        <v>0</v>
      </c>
      <c r="T47" s="16">
        <v>0</v>
      </c>
    </row>
    <row r="48" spans="1:20" x14ac:dyDescent="0.25">
      <c r="A48" s="11" t="s">
        <v>181</v>
      </c>
      <c r="B48" s="13">
        <v>5159</v>
      </c>
      <c r="C48" s="14">
        <f>(4286/B48*100)</f>
        <v>83.078115913936813</v>
      </c>
      <c r="D48" s="15">
        <v>873</v>
      </c>
      <c r="E48" s="14">
        <v>36.114767610000001</v>
      </c>
      <c r="F48" s="16">
        <v>2.3551180299999999</v>
      </c>
      <c r="G48" s="14">
        <v>12.50033217</v>
      </c>
      <c r="H48" s="16">
        <v>2.0711594600000001</v>
      </c>
      <c r="I48" s="14">
        <v>51.384900219999999</v>
      </c>
      <c r="J48" s="16">
        <v>2.41509515</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(4677/B50*100)</f>
        <v>82.969664715274078</v>
      </c>
      <c r="D50" s="15">
        <v>960</v>
      </c>
      <c r="E50" s="14">
        <v>48.507410380000003</v>
      </c>
      <c r="F50" s="16">
        <v>2.13613959</v>
      </c>
      <c r="G50" s="14">
        <v>17.542117399999999</v>
      </c>
      <c r="H50" s="16">
        <v>1.8112676000000001</v>
      </c>
      <c r="I50" s="14">
        <v>33.950472220000002</v>
      </c>
      <c r="J50" s="16">
        <v>2.1401712599999998</v>
      </c>
      <c r="K50" s="14" t="s">
        <v>139</v>
      </c>
      <c r="L50" s="16" t="s">
        <v>139</v>
      </c>
      <c r="M50" s="14">
        <v>0</v>
      </c>
      <c r="N50" s="16">
        <v>0</v>
      </c>
      <c r="O50" s="14">
        <v>0</v>
      </c>
      <c r="P50" s="16">
        <v>0</v>
      </c>
      <c r="Q50" s="14">
        <v>0</v>
      </c>
      <c r="R50" s="16">
        <v>0</v>
      </c>
      <c r="S50" s="14">
        <v>0</v>
      </c>
      <c r="T50" s="16">
        <v>0</v>
      </c>
    </row>
    <row r="51" spans="1:20" x14ac:dyDescent="0.25">
      <c r="A51" s="11" t="s">
        <v>184</v>
      </c>
      <c r="B51" s="13">
        <v>3372</v>
      </c>
      <c r="C51" s="14">
        <f>(2852/B51*100)</f>
        <v>84.578884934756829</v>
      </c>
      <c r="D51" s="15">
        <v>520</v>
      </c>
      <c r="E51" s="14">
        <v>38.025584979999998</v>
      </c>
      <c r="F51" s="16">
        <v>2.6932174299999998</v>
      </c>
      <c r="G51" s="14">
        <v>16.031137149999999</v>
      </c>
      <c r="H51" s="16">
        <v>1.6187003900000001</v>
      </c>
      <c r="I51" s="14">
        <v>45.943277870000003</v>
      </c>
      <c r="J51" s="16">
        <v>2.3975046099999999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(2340/B52*100)</f>
        <v>83.690987124463518</v>
      </c>
      <c r="D52" s="15">
        <v>456</v>
      </c>
      <c r="E52" s="14">
        <v>40.287249269999997</v>
      </c>
      <c r="F52" s="16">
        <v>2.6388605900000002</v>
      </c>
      <c r="G52" s="14">
        <v>10.16025862</v>
      </c>
      <c r="H52" s="16">
        <v>1.7423941000000001</v>
      </c>
      <c r="I52" s="14">
        <v>49.552492110000003</v>
      </c>
      <c r="J52" s="16">
        <v>2.9286438600000002</v>
      </c>
      <c r="K52" s="14" t="s">
        <v>139</v>
      </c>
      <c r="L52" s="16" t="s">
        <v>139</v>
      </c>
      <c r="M52" s="14">
        <v>0</v>
      </c>
      <c r="N52" s="16">
        <v>0</v>
      </c>
      <c r="O52" s="14">
        <v>0</v>
      </c>
      <c r="P52" s="16">
        <v>0</v>
      </c>
      <c r="Q52" s="14">
        <v>0</v>
      </c>
      <c r="R52" s="16">
        <v>0</v>
      </c>
      <c r="S52" s="14">
        <v>0</v>
      </c>
      <c r="T52" s="16">
        <v>0</v>
      </c>
    </row>
    <row r="53" spans="1:20" x14ac:dyDescent="0.25">
      <c r="A53" s="11" t="s">
        <v>186</v>
      </c>
      <c r="B53" s="13">
        <v>2811</v>
      </c>
      <c r="C53" s="14">
        <f>(2335/B53*100)</f>
        <v>83.066524368552123</v>
      </c>
      <c r="D53" s="15">
        <v>476</v>
      </c>
      <c r="E53" s="14">
        <v>44.2615816</v>
      </c>
      <c r="F53" s="16">
        <v>2.4169316599999999</v>
      </c>
      <c r="G53" s="14">
        <v>11.29272171</v>
      </c>
      <c r="H53" s="16">
        <v>1.4460378700000001</v>
      </c>
      <c r="I53" s="14">
        <v>44.445696689999998</v>
      </c>
      <c r="J53" s="16">
        <v>2.4006906899999998</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(2240/B56*100)</f>
        <v>83.457526080476896</v>
      </c>
      <c r="D56" s="15">
        <v>444</v>
      </c>
      <c r="E56" s="14">
        <v>38.110236579999999</v>
      </c>
      <c r="F56" s="16">
        <v>2.6158655799999999</v>
      </c>
      <c r="G56" s="14">
        <v>11.177954870000001</v>
      </c>
      <c r="H56" s="16">
        <v>1.6283393500000001</v>
      </c>
      <c r="I56" s="14">
        <v>50.711808550000001</v>
      </c>
      <c r="J56" s="16">
        <v>2.5596259699999999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(2779/B61*100)</f>
        <v>83.604091456077015</v>
      </c>
      <c r="D61" s="15">
        <v>545</v>
      </c>
      <c r="E61" s="14">
        <v>37.601748440000001</v>
      </c>
      <c r="F61" s="16">
        <v>2.6776151600000002</v>
      </c>
      <c r="G61" s="14">
        <v>13.47191595</v>
      </c>
      <c r="H61" s="16">
        <v>1.6195163800000001</v>
      </c>
      <c r="I61" s="14">
        <v>48.926335610000002</v>
      </c>
      <c r="J61" s="16">
        <v>2.75327514</v>
      </c>
      <c r="K61" s="14" t="s">
        <v>139</v>
      </c>
      <c r="L61" s="16" t="s">
        <v>139</v>
      </c>
      <c r="M61" s="14">
        <v>0</v>
      </c>
      <c r="N61" s="16">
        <v>0</v>
      </c>
      <c r="O61" s="14">
        <v>0</v>
      </c>
      <c r="P61" s="16">
        <v>0</v>
      </c>
      <c r="Q61" s="14">
        <v>0</v>
      </c>
      <c r="R61" s="16">
        <v>0</v>
      </c>
      <c r="S61" s="14">
        <v>0</v>
      </c>
      <c r="T61" s="16">
        <v>0</v>
      </c>
    </row>
    <row r="62" spans="1:20" x14ac:dyDescent="0.25">
      <c r="A62" s="11" t="s">
        <v>195</v>
      </c>
      <c r="B62" s="13">
        <v>2246</v>
      </c>
      <c r="C62" s="14">
        <f>(1846/B62*100)</f>
        <v>82.190560997328589</v>
      </c>
      <c r="D62" s="15">
        <v>400</v>
      </c>
      <c r="E62" s="14">
        <v>34.270442670000001</v>
      </c>
      <c r="F62" s="16">
        <v>2.09571226</v>
      </c>
      <c r="G62" s="14">
        <v>7.4860351100000004</v>
      </c>
      <c r="H62" s="16">
        <v>1.31441652</v>
      </c>
      <c r="I62" s="14">
        <v>58.243522220000003</v>
      </c>
      <c r="J62" s="16">
        <v>2.0125030000000002</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(2437/B66*100)</f>
        <v>84.208707671043541</v>
      </c>
      <c r="D66" s="15">
        <v>457</v>
      </c>
      <c r="E66" s="14">
        <v>54.734499769999999</v>
      </c>
      <c r="F66" s="16">
        <v>2.64900687</v>
      </c>
      <c r="G66" s="14">
        <v>13.80289511</v>
      </c>
      <c r="H66" s="16">
        <v>1.76838691</v>
      </c>
      <c r="I66" s="14">
        <v>31.462605119999999</v>
      </c>
      <c r="J66" s="16">
        <v>1.8469870100000001</v>
      </c>
      <c r="K66" s="14" t="s">
        <v>139</v>
      </c>
      <c r="L66" s="16" t="s">
        <v>139</v>
      </c>
      <c r="M66" s="14">
        <v>0</v>
      </c>
      <c r="N66" s="16">
        <v>0</v>
      </c>
      <c r="O66" s="14">
        <v>0</v>
      </c>
      <c r="P66" s="16">
        <v>0</v>
      </c>
      <c r="Q66" s="14">
        <v>0</v>
      </c>
      <c r="R66" s="16">
        <v>0</v>
      </c>
      <c r="S66" s="14">
        <v>0</v>
      </c>
      <c r="T66" s="16">
        <v>0</v>
      </c>
    </row>
    <row r="67" spans="1:20" x14ac:dyDescent="0.25">
      <c r="A67" s="11" t="s">
        <v>200</v>
      </c>
      <c r="B67" s="13">
        <v>3511</v>
      </c>
      <c r="C67" s="14">
        <f>(2954/B67*100)</f>
        <v>84.135573910566791</v>
      </c>
      <c r="D67" s="15">
        <v>557</v>
      </c>
      <c r="E67" s="14">
        <v>49.845719969999998</v>
      </c>
      <c r="F67" s="16">
        <v>2.6817007500000001</v>
      </c>
      <c r="G67" s="14">
        <v>16.951107709999999</v>
      </c>
      <c r="H67" s="16">
        <v>1.76464164</v>
      </c>
      <c r="I67" s="14">
        <v>33.20317232</v>
      </c>
      <c r="J67" s="16">
        <v>2.1995144299999998</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(2439/B70*100)</f>
        <v>83.270740867190156</v>
      </c>
      <c r="D70" s="15">
        <v>490</v>
      </c>
      <c r="E70" s="14">
        <v>41.329691869999998</v>
      </c>
      <c r="F70" s="16">
        <v>2.2702158300000002</v>
      </c>
      <c r="G70" s="14">
        <v>18.461514690000001</v>
      </c>
      <c r="H70" s="16">
        <v>1.6003487700000001</v>
      </c>
      <c r="I70" s="14">
        <v>40.208793440000001</v>
      </c>
      <c r="J70" s="16">
        <v>2.72281035</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35.513696959999997</v>
      </c>
      <c r="F72" s="16">
        <v>1.7354753700000001</v>
      </c>
      <c r="G72" s="14">
        <v>8.3344778700000006</v>
      </c>
      <c r="H72" s="16">
        <v>1.05290873</v>
      </c>
      <c r="I72" s="14">
        <v>56.151825170000002</v>
      </c>
      <c r="J72" s="16">
        <v>1.7380220799999999</v>
      </c>
      <c r="K72" s="14" t="s">
        <v>139</v>
      </c>
      <c r="L72" s="16" t="s">
        <v>139</v>
      </c>
      <c r="M72" s="14">
        <v>0</v>
      </c>
      <c r="N72" s="16">
        <v>0</v>
      </c>
      <c r="O72" s="14">
        <v>0</v>
      </c>
      <c r="P72" s="16">
        <v>0</v>
      </c>
      <c r="Q72" s="14">
        <v>0</v>
      </c>
      <c r="R72" s="16">
        <v>0</v>
      </c>
      <c r="S72" s="14">
        <v>0</v>
      </c>
      <c r="T72" s="16">
        <v>0</v>
      </c>
    </row>
    <row r="73" spans="1:20" x14ac:dyDescent="0.25">
      <c r="A73" s="11" t="s">
        <v>206</v>
      </c>
      <c r="B73" s="13">
        <v>3597</v>
      </c>
      <c r="C73" s="14">
        <f>(2987/B73*100)</f>
        <v>83.041423408395886</v>
      </c>
      <c r="D73" s="15">
        <v>610</v>
      </c>
      <c r="E73" s="14">
        <v>40.128639710000002</v>
      </c>
      <c r="F73" s="16">
        <v>2.2012563300000001</v>
      </c>
      <c r="G73" s="14">
        <v>10.965305219999999</v>
      </c>
      <c r="H73" s="16">
        <v>1.7368148800000001</v>
      </c>
      <c r="I73" s="14">
        <v>48.906055070000001</v>
      </c>
      <c r="J73" s="16">
        <v>2.33707099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(2031/B75*100)</f>
        <v>84.413965087281795</v>
      </c>
      <c r="D75" s="15">
        <v>375</v>
      </c>
      <c r="E75" s="14">
        <v>57.29884483</v>
      </c>
      <c r="F75" s="16">
        <v>2.5192376599999999</v>
      </c>
      <c r="G75" s="14">
        <v>14.26548569</v>
      </c>
      <c r="H75" s="16">
        <v>1.9182734299999999</v>
      </c>
      <c r="I75" s="14">
        <v>28.435669480000001</v>
      </c>
      <c r="J75" s="16">
        <v>1.96467473</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(5862/B76*100)</f>
        <v>83.125354509359056</v>
      </c>
      <c r="D76" s="15">
        <v>1190</v>
      </c>
      <c r="E76" s="14">
        <v>47.067897909999999</v>
      </c>
      <c r="F76" s="16">
        <v>1.9187774099999999</v>
      </c>
      <c r="G76" s="14">
        <v>14.32993607</v>
      </c>
      <c r="H76" s="16">
        <v>1.4433214299999999</v>
      </c>
      <c r="I76" s="14">
        <v>38.602166019999999</v>
      </c>
      <c r="J76" s="16">
        <v>1.7239006800000001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(2457/B77*100)</f>
        <v>84.491059147180195</v>
      </c>
      <c r="D77" s="15">
        <v>451</v>
      </c>
      <c r="E77" s="14">
        <v>48.400209439999998</v>
      </c>
      <c r="F77" s="16">
        <v>2.6874821799999999</v>
      </c>
      <c r="G77" s="14">
        <v>16.83116154</v>
      </c>
      <c r="H77" s="16">
        <v>1.9555168599999999</v>
      </c>
      <c r="I77" s="14">
        <v>34.76862903</v>
      </c>
      <c r="J77" s="16">
        <v>2.2493124899999999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(3451/B81*100)</f>
        <v>82.896949315397549</v>
      </c>
      <c r="D81" s="15">
        <v>712</v>
      </c>
      <c r="E81" s="14">
        <v>45.755116770000001</v>
      </c>
      <c r="F81" s="16">
        <v>2.09805076</v>
      </c>
      <c r="G81" s="14">
        <v>15.3999393</v>
      </c>
      <c r="H81" s="16">
        <v>1.71098919</v>
      </c>
      <c r="I81" s="14">
        <v>38.844943929999999</v>
      </c>
      <c r="J81" s="16">
        <v>2.0200626399999999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311</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(6141/B7*100)</f>
        <v>83.358219085109269</v>
      </c>
      <c r="D7" s="15">
        <v>1226</v>
      </c>
      <c r="E7" s="14">
        <v>51.150279640000001</v>
      </c>
      <c r="F7" s="16">
        <v>1.62060563</v>
      </c>
      <c r="G7" s="14">
        <v>48.849720359999999</v>
      </c>
      <c r="H7" s="16">
        <v>1.62060563</v>
      </c>
      <c r="I7" s="14" t="s">
        <v>139</v>
      </c>
      <c r="J7" s="16" t="s">
        <v>139</v>
      </c>
      <c r="K7" s="14">
        <v>0</v>
      </c>
      <c r="L7" s="16">
        <v>0</v>
      </c>
      <c r="M7" s="14">
        <v>0</v>
      </c>
      <c r="N7" s="16">
        <v>0</v>
      </c>
      <c r="O7" s="14">
        <v>0</v>
      </c>
      <c r="P7" s="16">
        <v>0</v>
      </c>
      <c r="Q7" s="14">
        <v>0</v>
      </c>
      <c r="R7" s="16">
        <v>0</v>
      </c>
    </row>
    <row r="8" spans="1:18" x14ac:dyDescent="0.25">
      <c r="A8" s="11" t="s">
        <v>140</v>
      </c>
      <c r="B8" s="13">
        <v>3564</v>
      </c>
      <c r="C8" s="14">
        <f>(2945/B8*100)</f>
        <v>82.631874298540964</v>
      </c>
      <c r="D8" s="15">
        <v>619</v>
      </c>
      <c r="E8" s="14">
        <v>42.163398190000002</v>
      </c>
      <c r="F8" s="16">
        <v>2.1438643900000001</v>
      </c>
      <c r="G8" s="14">
        <v>57.836601809999998</v>
      </c>
      <c r="H8" s="16">
        <v>2.1438643900000001</v>
      </c>
      <c r="I8" s="14" t="s">
        <v>139</v>
      </c>
      <c r="J8" s="16" t="s">
        <v>139</v>
      </c>
      <c r="K8" s="14">
        <v>0</v>
      </c>
      <c r="L8" s="16">
        <v>0</v>
      </c>
      <c r="M8" s="14">
        <v>0</v>
      </c>
      <c r="N8" s="16">
        <v>0</v>
      </c>
      <c r="O8" s="14">
        <v>0</v>
      </c>
      <c r="P8" s="16">
        <v>0</v>
      </c>
      <c r="Q8" s="14">
        <v>0</v>
      </c>
      <c r="R8" s="16">
        <v>0</v>
      </c>
    </row>
    <row r="9" spans="1:18" x14ac:dyDescent="0.25">
      <c r="A9" s="11" t="s">
        <v>141</v>
      </c>
      <c r="B9" s="13">
        <v>4899</v>
      </c>
      <c r="C9" s="14">
        <f>(4081/B9*100)</f>
        <v>83.302714839763212</v>
      </c>
      <c r="D9" s="15">
        <v>818</v>
      </c>
      <c r="E9" s="14">
        <v>39.55182172</v>
      </c>
      <c r="F9" s="16">
        <v>1.9141522799999999</v>
      </c>
      <c r="G9" s="14">
        <v>60.44817828</v>
      </c>
      <c r="H9" s="16">
        <v>1.9141522799999999</v>
      </c>
      <c r="I9" s="14" t="s">
        <v>139</v>
      </c>
      <c r="J9" s="16" t="s">
        <v>139</v>
      </c>
      <c r="K9" s="14">
        <v>0</v>
      </c>
      <c r="L9" s="16">
        <v>0</v>
      </c>
      <c r="M9" s="14">
        <v>0</v>
      </c>
      <c r="N9" s="16">
        <v>0</v>
      </c>
      <c r="O9" s="14">
        <v>0</v>
      </c>
      <c r="P9" s="16">
        <v>0</v>
      </c>
      <c r="Q9" s="14">
        <v>0</v>
      </c>
      <c r="R9" s="16">
        <v>0</v>
      </c>
    </row>
    <row r="10" spans="1:18" x14ac:dyDescent="0.25">
      <c r="A10" s="11" t="s">
        <v>142</v>
      </c>
      <c r="B10" s="13">
        <v>10036</v>
      </c>
      <c r="C10" s="14">
        <f>(8354/B10*100)</f>
        <v>83.240334794738942</v>
      </c>
      <c r="D10" s="15">
        <v>1682</v>
      </c>
      <c r="E10" s="14">
        <v>50.229915480000003</v>
      </c>
      <c r="F10" s="16">
        <v>1.8113508</v>
      </c>
      <c r="G10" s="14">
        <v>49.770084519999997</v>
      </c>
      <c r="H10" s="16">
        <v>1.8113508</v>
      </c>
      <c r="I10" s="14" t="s">
        <v>139</v>
      </c>
      <c r="J10" s="16" t="s">
        <v>139</v>
      </c>
      <c r="K10" s="14">
        <v>0</v>
      </c>
      <c r="L10" s="16">
        <v>0</v>
      </c>
      <c r="M10" s="14">
        <v>0</v>
      </c>
      <c r="N10" s="16">
        <v>0</v>
      </c>
      <c r="O10" s="14">
        <v>0</v>
      </c>
      <c r="P10" s="16">
        <v>0</v>
      </c>
      <c r="Q10" s="14">
        <v>0</v>
      </c>
      <c r="R10" s="16">
        <v>0</v>
      </c>
    </row>
    <row r="11" spans="1:18" x14ac:dyDescent="0.25">
      <c r="A11" s="11" t="s">
        <v>143</v>
      </c>
      <c r="B11" s="13">
        <v>3553</v>
      </c>
      <c r="C11" s="14">
        <f>(2952/B11*100)</f>
        <v>83.084717140444695</v>
      </c>
      <c r="D11" s="15">
        <v>601</v>
      </c>
      <c r="E11" s="14">
        <v>48.458499019999998</v>
      </c>
      <c r="F11" s="16">
        <v>2.41270673</v>
      </c>
      <c r="G11" s="14">
        <v>51.541500980000002</v>
      </c>
      <c r="H11" s="16">
        <v>2.41270673</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(2862/B12*100)</f>
        <v>82.430875576036868</v>
      </c>
      <c r="D12" s="15">
        <v>610</v>
      </c>
      <c r="E12" s="14">
        <v>47.797272980000002</v>
      </c>
      <c r="F12" s="16">
        <v>2.2868918900000001</v>
      </c>
      <c r="G12" s="14">
        <v>52.202727019999998</v>
      </c>
      <c r="H12" s="16">
        <v>2.2868918900000001</v>
      </c>
      <c r="I12" s="14" t="s">
        <v>139</v>
      </c>
      <c r="J12" s="16" t="s">
        <v>139</v>
      </c>
      <c r="K12" s="14">
        <v>0</v>
      </c>
      <c r="L12" s="16">
        <v>0</v>
      </c>
      <c r="M12" s="14">
        <v>0</v>
      </c>
      <c r="N12" s="16">
        <v>0</v>
      </c>
      <c r="O12" s="14">
        <v>0</v>
      </c>
      <c r="P12" s="16">
        <v>0</v>
      </c>
      <c r="Q12" s="14">
        <v>0</v>
      </c>
      <c r="R12" s="16">
        <v>0</v>
      </c>
    </row>
    <row r="13" spans="1:18" x14ac:dyDescent="0.25">
      <c r="A13" s="11" t="s">
        <v>145</v>
      </c>
      <c r="B13" s="13">
        <v>3559</v>
      </c>
      <c r="C13" s="14">
        <f>(2994/B13*100)</f>
        <v>84.124754144422582</v>
      </c>
      <c r="D13" s="15">
        <v>565</v>
      </c>
      <c r="E13" s="14">
        <v>54.065606690000003</v>
      </c>
      <c r="F13" s="16">
        <v>2.3840931300000001</v>
      </c>
      <c r="G13" s="14">
        <v>45.934393309999997</v>
      </c>
      <c r="H13" s="16">
        <v>2.3840931300000001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(2318/B14*100)</f>
        <v>82.815291175419787</v>
      </c>
      <c r="D14" s="15">
        <v>481</v>
      </c>
      <c r="E14" s="14">
        <v>44.665941750000002</v>
      </c>
      <c r="F14" s="16">
        <v>2.4175787299999998</v>
      </c>
      <c r="G14" s="14">
        <v>55.334058249999998</v>
      </c>
      <c r="H14" s="16">
        <v>2.4175787299999998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(2508/B15*100)</f>
        <v>83.07386551838357</v>
      </c>
      <c r="D15" s="15">
        <v>511</v>
      </c>
      <c r="E15" s="14">
        <v>38.035302510000001</v>
      </c>
      <c r="F15" s="16">
        <v>2.3319090600000001</v>
      </c>
      <c r="G15" s="14">
        <v>61.964697489999999</v>
      </c>
      <c r="H15" s="16">
        <v>2.3319090600000001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(2512/B16*100)</f>
        <v>83.817150483817144</v>
      </c>
      <c r="D16" s="15">
        <v>485</v>
      </c>
      <c r="E16" s="14">
        <v>44.696495460000001</v>
      </c>
      <c r="F16" s="16">
        <v>2.4780957099999998</v>
      </c>
      <c r="G16" s="14">
        <v>55.303504539999999</v>
      </c>
      <c r="H16" s="16">
        <v>2.4780957099999998</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(2790/B17*100)</f>
        <v>84.366495312972475</v>
      </c>
      <c r="D17" s="15">
        <v>517</v>
      </c>
      <c r="E17" s="14">
        <v>37.594195560000003</v>
      </c>
      <c r="F17" s="16">
        <v>2.0558708600000002</v>
      </c>
      <c r="G17" s="14">
        <v>62.405804439999997</v>
      </c>
      <c r="H17" s="16">
        <v>2.0558708600000002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(2345/B18*100)</f>
        <v>82.979476291578209</v>
      </c>
      <c r="D18" s="15">
        <v>481</v>
      </c>
      <c r="E18" s="14">
        <v>47.240876450000002</v>
      </c>
      <c r="F18" s="16">
        <v>2.53962983</v>
      </c>
      <c r="G18" s="14">
        <v>52.759123549999998</v>
      </c>
      <c r="H18" s="16">
        <v>2.53962983</v>
      </c>
      <c r="I18" s="14" t="s">
        <v>139</v>
      </c>
      <c r="J18" s="16" t="s">
        <v>139</v>
      </c>
      <c r="K18" s="14">
        <v>0</v>
      </c>
      <c r="L18" s="16">
        <v>0</v>
      </c>
      <c r="M18" s="14">
        <v>0</v>
      </c>
      <c r="N18" s="16">
        <v>0</v>
      </c>
      <c r="O18" s="14">
        <v>0</v>
      </c>
      <c r="P18" s="16">
        <v>0</v>
      </c>
      <c r="Q18" s="14">
        <v>0</v>
      </c>
      <c r="R18" s="16">
        <v>0</v>
      </c>
    </row>
    <row r="19" spans="1:18" x14ac:dyDescent="0.25">
      <c r="A19" s="11" t="s">
        <v>151</v>
      </c>
      <c r="B19" s="13">
        <v>2808</v>
      </c>
      <c r="C19" s="14">
        <f>(2332/B19*100)</f>
        <v>83.04843304843304</v>
      </c>
      <c r="D19" s="15">
        <v>476</v>
      </c>
      <c r="E19" s="14">
        <v>38.130017379999998</v>
      </c>
      <c r="F19" s="16">
        <v>2.38658181</v>
      </c>
      <c r="G19" s="14">
        <v>61.869982620000002</v>
      </c>
      <c r="H19" s="16">
        <v>2.38658181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(1359/B20*100)</f>
        <v>83.374233128834348</v>
      </c>
      <c r="D20" s="15">
        <v>271</v>
      </c>
      <c r="E20" s="14">
        <v>47.570787099999997</v>
      </c>
      <c r="F20" s="16">
        <v>3.0832923800000001</v>
      </c>
      <c r="G20" s="14">
        <v>52.429212900000003</v>
      </c>
      <c r="H20" s="16">
        <v>3.0832923800000001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(2443/B22*100)</f>
        <v>83.350392357557141</v>
      </c>
      <c r="D22" s="15">
        <v>488</v>
      </c>
      <c r="E22" s="14">
        <v>51.814797370000001</v>
      </c>
      <c r="F22" s="16">
        <v>1.91358513</v>
      </c>
      <c r="G22" s="14">
        <v>48.185202629999999</v>
      </c>
      <c r="H22" s="16">
        <v>1.91358513</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(4792/B23*100)</f>
        <v>82.749093420825417</v>
      </c>
      <c r="D23" s="15">
        <v>999</v>
      </c>
      <c r="E23" s="14">
        <v>56.142958</v>
      </c>
      <c r="F23" s="16">
        <v>2.2782947500000001</v>
      </c>
      <c r="G23" s="14">
        <v>43.857042</v>
      </c>
      <c r="H23" s="16">
        <v>2.2782947500000001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(2774/B24*100)</f>
        <v>83.103654883163571</v>
      </c>
      <c r="D24" s="15">
        <v>564</v>
      </c>
      <c r="E24" s="14">
        <v>32.411107659999999</v>
      </c>
      <c r="F24" s="16">
        <v>1.8420755900000001</v>
      </c>
      <c r="G24" s="14">
        <v>67.588892340000001</v>
      </c>
      <c r="H24" s="16">
        <v>1.8420755900000001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40.129783940000003</v>
      </c>
      <c r="F25" s="16">
        <v>2.2380484900000002</v>
      </c>
      <c r="G25" s="14">
        <v>59.870216059999997</v>
      </c>
      <c r="H25" s="16">
        <v>2.2380484900000002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(2045/B26*100)</f>
        <v>83.469387755102048</v>
      </c>
      <c r="D26" s="15">
        <v>405</v>
      </c>
      <c r="E26" s="14">
        <v>36.991187320000002</v>
      </c>
      <c r="F26" s="16">
        <v>2.6707005000000001</v>
      </c>
      <c r="G26" s="14">
        <v>63.008812679999998</v>
      </c>
      <c r="H26" s="16">
        <v>2.6707005000000001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(2182/B27*100)</f>
        <v>83.409785932721718</v>
      </c>
      <c r="D27" s="15">
        <v>434</v>
      </c>
      <c r="E27" s="14">
        <v>45.599419910000002</v>
      </c>
      <c r="F27" s="16">
        <v>2.45959686</v>
      </c>
      <c r="G27" s="14">
        <v>54.400580089999998</v>
      </c>
      <c r="H27" s="16">
        <v>2.45959686</v>
      </c>
      <c r="I27" s="14" t="s">
        <v>139</v>
      </c>
      <c r="J27" s="16" t="s">
        <v>139</v>
      </c>
      <c r="K27" s="14">
        <v>0</v>
      </c>
      <c r="L27" s="16">
        <v>0</v>
      </c>
      <c r="M27" s="14">
        <v>0</v>
      </c>
      <c r="N27" s="16">
        <v>0</v>
      </c>
      <c r="O27" s="14">
        <v>0</v>
      </c>
      <c r="P27" s="16">
        <v>0</v>
      </c>
      <c r="Q27" s="14">
        <v>0</v>
      </c>
      <c r="R27" s="16">
        <v>0</v>
      </c>
    </row>
    <row r="28" spans="1:18" x14ac:dyDescent="0.25">
      <c r="A28" s="11" t="s">
        <v>161</v>
      </c>
      <c r="B28" s="13">
        <v>3765</v>
      </c>
      <c r="C28" s="14">
        <f>(3145/B28*100)</f>
        <v>83.53253652058433</v>
      </c>
      <c r="D28" s="15">
        <v>620</v>
      </c>
      <c r="E28" s="14">
        <v>50.044077940000001</v>
      </c>
      <c r="F28" s="16">
        <v>2.2539829600000001</v>
      </c>
      <c r="G28" s="14">
        <v>49.955922059999999</v>
      </c>
      <c r="H28" s="16">
        <v>2.2539829600000001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39.056930280000003</v>
      </c>
      <c r="F29" s="16">
        <v>2.0108430500000001</v>
      </c>
      <c r="G29" s="14">
        <v>60.943069719999997</v>
      </c>
      <c r="H29" s="16">
        <v>2.0108430500000001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(1886/B30*100)</f>
        <v>83.340698188245682</v>
      </c>
      <c r="D30" s="15">
        <v>377</v>
      </c>
      <c r="E30" s="14">
        <v>48.05761545</v>
      </c>
      <c r="F30" s="16">
        <v>2.6604549500000001</v>
      </c>
      <c r="G30" s="14">
        <v>51.94238455</v>
      </c>
      <c r="H30" s="16">
        <v>2.6604549500000001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(2295/B31*100)</f>
        <v>83.454545454545453</v>
      </c>
      <c r="D31" s="15">
        <v>455</v>
      </c>
      <c r="E31" s="14">
        <v>49.712235929999999</v>
      </c>
      <c r="F31" s="16">
        <v>2.35434601</v>
      </c>
      <c r="G31" s="14">
        <v>50.287764070000001</v>
      </c>
      <c r="H31" s="16">
        <v>2.35434601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(3055/B33*100)</f>
        <v>83.151878062057705</v>
      </c>
      <c r="D33" s="15">
        <v>619</v>
      </c>
      <c r="E33" s="14">
        <v>45.72259451</v>
      </c>
      <c r="F33" s="16">
        <v>2.2086105200000001</v>
      </c>
      <c r="G33" s="14">
        <v>54.27740549</v>
      </c>
      <c r="H33" s="16">
        <v>2.2086105200000001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(2767/B34*100)</f>
        <v>83.469079939668177</v>
      </c>
      <c r="D34" s="15">
        <v>548</v>
      </c>
      <c r="E34" s="14">
        <v>45.875330830000003</v>
      </c>
      <c r="F34" s="16">
        <v>2.0174519700000002</v>
      </c>
      <c r="G34" s="14">
        <v>54.124669169999997</v>
      </c>
      <c r="H34" s="16">
        <v>2.0174519700000002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(2927/B35*100)</f>
        <v>83.509272467902989</v>
      </c>
      <c r="D35" s="15">
        <v>578</v>
      </c>
      <c r="E35" s="14">
        <v>41.302919719999998</v>
      </c>
      <c r="F35" s="16">
        <v>2.64373506</v>
      </c>
      <c r="G35" s="14">
        <v>58.697080280000002</v>
      </c>
      <c r="H35" s="16">
        <v>2.64373506</v>
      </c>
      <c r="I35" s="14" t="s">
        <v>139</v>
      </c>
      <c r="J35" s="16" t="s">
        <v>139</v>
      </c>
      <c r="K35" s="14">
        <v>0</v>
      </c>
      <c r="L35" s="16">
        <v>0</v>
      </c>
      <c r="M35" s="14">
        <v>0</v>
      </c>
      <c r="N35" s="16">
        <v>0</v>
      </c>
      <c r="O35" s="14">
        <v>0</v>
      </c>
      <c r="P35" s="16">
        <v>0</v>
      </c>
      <c r="Q35" s="14">
        <v>0</v>
      </c>
      <c r="R35" s="16">
        <v>0</v>
      </c>
    </row>
    <row r="36" spans="1:18" x14ac:dyDescent="0.25">
      <c r="A36" s="11" t="s">
        <v>169</v>
      </c>
      <c r="B36" s="13">
        <v>3332</v>
      </c>
      <c r="C36" s="14">
        <f>(2754/B36*100)</f>
        <v>82.653061224489804</v>
      </c>
      <c r="D36" s="15">
        <v>578</v>
      </c>
      <c r="E36" s="14">
        <v>44.248305019999997</v>
      </c>
      <c r="F36" s="16">
        <v>2.3669931100000001</v>
      </c>
      <c r="G36" s="14">
        <v>55.751694980000003</v>
      </c>
      <c r="H36" s="16">
        <v>2.3669931100000001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(2285/B37*100)</f>
        <v>83.791712504583799</v>
      </c>
      <c r="D37" s="15">
        <v>442</v>
      </c>
      <c r="E37" s="14">
        <v>47.573098369999997</v>
      </c>
      <c r="F37" s="16">
        <v>2.2942570500000001</v>
      </c>
      <c r="G37" s="14">
        <v>52.426901630000003</v>
      </c>
      <c r="H37" s="16">
        <v>2.2942570500000001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40.686310570000003</v>
      </c>
      <c r="F39" s="16">
        <v>2.41836137</v>
      </c>
      <c r="G39" s="14">
        <v>59.313689429999997</v>
      </c>
      <c r="H39" s="16">
        <v>2.41836137</v>
      </c>
      <c r="I39" s="14" t="s">
        <v>139</v>
      </c>
      <c r="J39" s="16" t="s">
        <v>139</v>
      </c>
      <c r="K39" s="14">
        <v>0</v>
      </c>
      <c r="L39" s="16">
        <v>0</v>
      </c>
      <c r="M39" s="14">
        <v>0</v>
      </c>
      <c r="N39" s="16">
        <v>0</v>
      </c>
      <c r="O39" s="14">
        <v>0</v>
      </c>
      <c r="P39" s="16">
        <v>0</v>
      </c>
      <c r="Q39" s="14">
        <v>0</v>
      </c>
      <c r="R39" s="16">
        <v>0</v>
      </c>
    </row>
    <row r="40" spans="1:18" x14ac:dyDescent="0.25">
      <c r="A40" s="11" t="s">
        <v>173</v>
      </c>
      <c r="B40" s="13">
        <v>7235</v>
      </c>
      <c r="C40" s="14">
        <f>(6008/B40*100)</f>
        <v>83.040774015203866</v>
      </c>
      <c r="D40" s="15">
        <v>1227</v>
      </c>
      <c r="E40" s="14">
        <v>51.274710560000003</v>
      </c>
      <c r="F40" s="16">
        <v>2.0608812300000001</v>
      </c>
      <c r="G40" s="14">
        <v>48.725289439999997</v>
      </c>
      <c r="H40" s="16">
        <v>2.0608812300000001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(2382/B41*100)</f>
        <v>83.344996501049678</v>
      </c>
      <c r="D41" s="15">
        <v>476</v>
      </c>
      <c r="E41" s="14">
        <v>50.639093449999997</v>
      </c>
      <c r="F41" s="16">
        <v>2.13416988</v>
      </c>
      <c r="G41" s="14">
        <v>49.360906550000003</v>
      </c>
      <c r="H41" s="16">
        <v>2.13416988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83.243956312158545</v>
      </c>
      <c r="D42" s="15">
        <f>IF(COUNT(D7:D41) &gt; 0, AVERAGE(D7:D41), "—")</f>
        <v>612.9375</v>
      </c>
      <c r="E42" s="14">
        <f>IF(COUNT(E7:E41) &gt; 0, AVERAGE(E7:E41), "—")</f>
        <v>45.269777711249994</v>
      </c>
      <c r="F42" s="16">
        <f>IF(COUNT(F7:F41) &gt; 0, SQRT(SUMSQ(F7:F41)/(COUNT(F7:F41)*COUNT(F7:F41)) ), "—")</f>
        <v>0.40485385768964455</v>
      </c>
      <c r="G42" s="14">
        <f>IF(COUNT(G7:G41) &gt; 0, AVERAGE(G7:G41), "—")</f>
        <v>54.730222288750006</v>
      </c>
      <c r="H42" s="16">
        <f>IF(COUNT(H7:H41) &gt; 0, SQRT(SUMSQ(H7:H41)/(COUNT(H7:H41)*COUNT(H7:H41)) ), "—")</f>
        <v>0.40485385768964455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(9504/B46*100)</f>
        <v>85.869172388868805</v>
      </c>
      <c r="D46" s="15">
        <v>1564</v>
      </c>
      <c r="E46" s="14">
        <v>53.945458360000003</v>
      </c>
      <c r="F46" s="16">
        <v>1.5128916400000001</v>
      </c>
      <c r="G46" s="14">
        <v>46.054541639999997</v>
      </c>
      <c r="H46" s="16">
        <v>1.5128916400000001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(2595/B47*100)</f>
        <v>83.574879227053145</v>
      </c>
      <c r="D47" s="15">
        <v>510</v>
      </c>
      <c r="E47" s="14">
        <v>41.719761660000003</v>
      </c>
      <c r="F47" s="16">
        <v>2.40394372</v>
      </c>
      <c r="G47" s="14">
        <v>58.280238339999997</v>
      </c>
      <c r="H47" s="16">
        <v>2.40394372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(4286/B48*100)</f>
        <v>83.078115913936813</v>
      </c>
      <c r="D48" s="15">
        <v>873</v>
      </c>
      <c r="E48" s="14">
        <v>42.75656025</v>
      </c>
      <c r="F48" s="16">
        <v>2.2344529</v>
      </c>
      <c r="G48" s="14">
        <v>57.24343975</v>
      </c>
      <c r="H48" s="16">
        <v>2.2344529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(4677/B50*100)</f>
        <v>82.969664715274078</v>
      </c>
      <c r="D50" s="15">
        <v>960</v>
      </c>
      <c r="E50" s="14">
        <v>57.11726419</v>
      </c>
      <c r="F50" s="16">
        <v>1.8589312899999999</v>
      </c>
      <c r="G50" s="14">
        <v>42.88273581</v>
      </c>
      <c r="H50" s="16">
        <v>1.8589312899999999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(2852/B51*100)</f>
        <v>84.578884934756829</v>
      </c>
      <c r="D51" s="15">
        <v>520</v>
      </c>
      <c r="E51" s="14">
        <v>51.590819969999998</v>
      </c>
      <c r="F51" s="16">
        <v>2.4461908299999999</v>
      </c>
      <c r="G51" s="14">
        <v>48.409180030000002</v>
      </c>
      <c r="H51" s="16">
        <v>2.4461908299999999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(2340/B52*100)</f>
        <v>83.690987124463518</v>
      </c>
      <c r="D52" s="15">
        <v>456</v>
      </c>
      <c r="E52" s="14">
        <v>43.000145619999998</v>
      </c>
      <c r="F52" s="16">
        <v>2.58832833</v>
      </c>
      <c r="G52" s="14">
        <v>56.999854380000002</v>
      </c>
      <c r="H52" s="16">
        <v>2.58832833</v>
      </c>
      <c r="I52" s="14" t="s">
        <v>139</v>
      </c>
      <c r="J52" s="16" t="s">
        <v>139</v>
      </c>
      <c r="K52" s="14">
        <v>0</v>
      </c>
      <c r="L52" s="16">
        <v>0</v>
      </c>
      <c r="M52" s="14">
        <v>0</v>
      </c>
      <c r="N52" s="16">
        <v>0</v>
      </c>
      <c r="O52" s="14">
        <v>0</v>
      </c>
      <c r="P52" s="16">
        <v>0</v>
      </c>
      <c r="Q52" s="14">
        <v>0</v>
      </c>
      <c r="R52" s="16">
        <v>0</v>
      </c>
    </row>
    <row r="53" spans="1:18" x14ac:dyDescent="0.25">
      <c r="A53" s="11" t="s">
        <v>186</v>
      </c>
      <c r="B53" s="13">
        <v>2811</v>
      </c>
      <c r="C53" s="14">
        <f>(2335/B53*100)</f>
        <v>83.066524368552123</v>
      </c>
      <c r="D53" s="15">
        <v>476</v>
      </c>
      <c r="E53" s="14">
        <v>60.091410400000001</v>
      </c>
      <c r="F53" s="16">
        <v>2.41593145</v>
      </c>
      <c r="G53" s="14">
        <v>39.908589599999999</v>
      </c>
      <c r="H53" s="16">
        <v>2.41593145</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(2240/B56*100)</f>
        <v>83.457526080476896</v>
      </c>
      <c r="D56" s="15">
        <v>444</v>
      </c>
      <c r="E56" s="14">
        <v>45.969680080000003</v>
      </c>
      <c r="F56" s="16">
        <v>2.6249654699999998</v>
      </c>
      <c r="G56" s="14">
        <v>54.030319919999997</v>
      </c>
      <c r="H56" s="16">
        <v>2.6249654699999998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(2779/B61*100)</f>
        <v>83.604091456077015</v>
      </c>
      <c r="D61" s="15">
        <v>545</v>
      </c>
      <c r="E61" s="14">
        <v>44.624039840000002</v>
      </c>
      <c r="F61" s="16">
        <v>2.5627072000000002</v>
      </c>
      <c r="G61" s="14">
        <v>55.375960159999998</v>
      </c>
      <c r="H61" s="16">
        <v>2.5627072000000002</v>
      </c>
      <c r="I61" s="14" t="s">
        <v>139</v>
      </c>
      <c r="J61" s="16" t="s">
        <v>139</v>
      </c>
      <c r="K61" s="14">
        <v>0</v>
      </c>
      <c r="L61" s="16">
        <v>0</v>
      </c>
      <c r="M61" s="14">
        <v>0</v>
      </c>
      <c r="N61" s="16">
        <v>0</v>
      </c>
      <c r="O61" s="14">
        <v>0</v>
      </c>
      <c r="P61" s="16">
        <v>0</v>
      </c>
      <c r="Q61" s="14">
        <v>0</v>
      </c>
      <c r="R61" s="16">
        <v>0</v>
      </c>
    </row>
    <row r="62" spans="1:18" x14ac:dyDescent="0.25">
      <c r="A62" s="11" t="s">
        <v>195</v>
      </c>
      <c r="B62" s="13">
        <v>2246</v>
      </c>
      <c r="C62" s="14">
        <f>(1846/B62*100)</f>
        <v>82.190560997328589</v>
      </c>
      <c r="D62" s="15">
        <v>400</v>
      </c>
      <c r="E62" s="14">
        <v>47.453574959999997</v>
      </c>
      <c r="F62" s="16">
        <v>2.40538272</v>
      </c>
      <c r="G62" s="14">
        <v>52.546425040000003</v>
      </c>
      <c r="H62" s="16">
        <v>2.40538272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(2437/B66*100)</f>
        <v>84.208707671043541</v>
      </c>
      <c r="D66" s="15">
        <v>457</v>
      </c>
      <c r="E66" s="14">
        <v>41.943262990000001</v>
      </c>
      <c r="F66" s="16">
        <v>2.3796375200000002</v>
      </c>
      <c r="G66" s="14">
        <v>58.056737009999999</v>
      </c>
      <c r="H66" s="16">
        <v>2.3796375200000002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(2954/B67*100)</f>
        <v>84.135573910566791</v>
      </c>
      <c r="D67" s="15">
        <v>557</v>
      </c>
      <c r="E67" s="14">
        <v>52.529252210000003</v>
      </c>
      <c r="F67" s="16">
        <v>2.07030921</v>
      </c>
      <c r="G67" s="14">
        <v>47.470747789999997</v>
      </c>
      <c r="H67" s="16">
        <v>2.07030921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(2439/B70*100)</f>
        <v>83.270740867190156</v>
      </c>
      <c r="D70" s="15">
        <v>490</v>
      </c>
      <c r="E70" s="14">
        <v>44.742708450000002</v>
      </c>
      <c r="F70" s="16">
        <v>2.6304522499999998</v>
      </c>
      <c r="G70" s="14">
        <v>55.257291549999998</v>
      </c>
      <c r="H70" s="16">
        <v>2.6304522499999998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(3210/B72*100)</f>
        <v>82.540498842890202</v>
      </c>
      <c r="D72" s="15">
        <v>679</v>
      </c>
      <c r="E72" s="14">
        <v>47.673499049999997</v>
      </c>
      <c r="F72" s="16">
        <v>2.2420046999999999</v>
      </c>
      <c r="G72" s="14">
        <v>52.326500950000003</v>
      </c>
      <c r="H72" s="16">
        <v>2.2420046999999999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(2987/B73*100)</f>
        <v>83.041423408395886</v>
      </c>
      <c r="D73" s="15">
        <v>610</v>
      </c>
      <c r="E73" s="14">
        <v>44.982593430000001</v>
      </c>
      <c r="F73" s="16">
        <v>2.1683557599999999</v>
      </c>
      <c r="G73" s="14">
        <v>55.017406569999999</v>
      </c>
      <c r="H73" s="16">
        <v>2.1683557599999999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(2031/B75*100)</f>
        <v>84.413965087281795</v>
      </c>
      <c r="D75" s="15">
        <v>375</v>
      </c>
      <c r="E75" s="14">
        <v>62.164691439999999</v>
      </c>
      <c r="F75" s="16">
        <v>2.7205107399999999</v>
      </c>
      <c r="G75" s="14">
        <v>37.835308560000001</v>
      </c>
      <c r="H75" s="16">
        <v>2.7205107399999999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(5862/B76*100)</f>
        <v>83.125354509359056</v>
      </c>
      <c r="D76" s="15">
        <v>1190</v>
      </c>
      <c r="E76" s="14">
        <v>52.593215399999998</v>
      </c>
      <c r="F76" s="16">
        <v>1.7310368899999999</v>
      </c>
      <c r="G76" s="14">
        <v>47.406784600000002</v>
      </c>
      <c r="H76" s="16">
        <v>1.7310368899999999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(2457/B77*100)</f>
        <v>84.491059147180195</v>
      </c>
      <c r="D77" s="15">
        <v>451</v>
      </c>
      <c r="E77" s="14">
        <v>47.34268608</v>
      </c>
      <c r="F77" s="16">
        <v>2.4603000900000001</v>
      </c>
      <c r="G77" s="14">
        <v>52.65731392</v>
      </c>
      <c r="H77" s="16">
        <v>2.4603000900000001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(3451/B81*100)</f>
        <v>82.896949315397549</v>
      </c>
      <c r="D81" s="15">
        <v>712</v>
      </c>
      <c r="E81" s="14">
        <v>15.6444931</v>
      </c>
      <c r="F81" s="16">
        <v>2.2985342900000001</v>
      </c>
      <c r="G81" s="14">
        <v>5.43364753</v>
      </c>
      <c r="H81" s="16">
        <v>1.17893001</v>
      </c>
      <c r="I81" s="14" t="s">
        <v>139</v>
      </c>
      <c r="J81" s="16" t="s">
        <v>139</v>
      </c>
      <c r="K81" s="14">
        <v>0</v>
      </c>
      <c r="L81" s="16">
        <v>0</v>
      </c>
      <c r="M81" s="14">
        <v>78.921859370000007</v>
      </c>
      <c r="N81" s="16">
        <v>2.98693878</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312</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(6141/B7*100)</f>
        <v>83.358219085109269</v>
      </c>
      <c r="D7" s="15">
        <v>1226</v>
      </c>
      <c r="E7" s="14">
        <v>29.995343030000001</v>
      </c>
      <c r="F7" s="16">
        <v>1.50650499</v>
      </c>
      <c r="G7" s="14">
        <v>14.7730154</v>
      </c>
      <c r="H7" s="16">
        <v>1.26080086</v>
      </c>
      <c r="I7" s="14">
        <v>55.231641570000001</v>
      </c>
      <c r="J7" s="16">
        <v>1.8321485500000001</v>
      </c>
      <c r="K7" s="14" t="s">
        <v>139</v>
      </c>
      <c r="L7" s="16" t="s">
        <v>139</v>
      </c>
      <c r="M7" s="14">
        <v>0</v>
      </c>
      <c r="N7" s="16">
        <v>0</v>
      </c>
      <c r="O7" s="14">
        <v>0</v>
      </c>
      <c r="P7" s="16">
        <v>0</v>
      </c>
      <c r="Q7" s="14">
        <v>0</v>
      </c>
      <c r="R7" s="16">
        <v>0</v>
      </c>
      <c r="S7" s="14">
        <v>0</v>
      </c>
      <c r="T7" s="16">
        <v>0</v>
      </c>
    </row>
    <row r="8" spans="1:20" x14ac:dyDescent="0.25">
      <c r="A8" s="11" t="s">
        <v>140</v>
      </c>
      <c r="B8" s="13">
        <v>3564</v>
      </c>
      <c r="C8" s="14">
        <f>(2945/B8*100)</f>
        <v>82.631874298540964</v>
      </c>
      <c r="D8" s="15">
        <v>619</v>
      </c>
      <c r="E8" s="14">
        <v>29.62181163</v>
      </c>
      <c r="F8" s="16">
        <v>2.18059337</v>
      </c>
      <c r="G8" s="14">
        <v>23.975653900000001</v>
      </c>
      <c r="H8" s="16">
        <v>1.80485194</v>
      </c>
      <c r="I8" s="14">
        <v>46.40253448</v>
      </c>
      <c r="J8" s="16">
        <v>2.0643011200000001</v>
      </c>
      <c r="K8" s="14" t="s">
        <v>139</v>
      </c>
      <c r="L8" s="16" t="s">
        <v>139</v>
      </c>
      <c r="M8" s="14">
        <v>0</v>
      </c>
      <c r="N8" s="16">
        <v>0</v>
      </c>
      <c r="O8" s="14">
        <v>0</v>
      </c>
      <c r="P8" s="16">
        <v>0</v>
      </c>
      <c r="Q8" s="14">
        <v>0</v>
      </c>
      <c r="R8" s="16">
        <v>0</v>
      </c>
      <c r="S8" s="14">
        <v>0</v>
      </c>
      <c r="T8" s="16">
        <v>0</v>
      </c>
    </row>
    <row r="9" spans="1:20" x14ac:dyDescent="0.25">
      <c r="A9" s="11" t="s">
        <v>141</v>
      </c>
      <c r="B9" s="13">
        <v>4899</v>
      </c>
      <c r="C9" s="14">
        <f>(4081/B9*100)</f>
        <v>83.302714839763212</v>
      </c>
      <c r="D9" s="15">
        <v>818</v>
      </c>
      <c r="E9" s="14">
        <v>27.57590605</v>
      </c>
      <c r="F9" s="16">
        <v>1.6783426299999999</v>
      </c>
      <c r="G9" s="14">
        <v>19.969541880000001</v>
      </c>
      <c r="H9" s="16">
        <v>1.1537718299999999</v>
      </c>
      <c r="I9" s="14">
        <v>52.454552079999999</v>
      </c>
      <c r="J9" s="16">
        <v>1.7357501200000001</v>
      </c>
      <c r="K9" s="14" t="s">
        <v>139</v>
      </c>
      <c r="L9" s="16" t="s">
        <v>139</v>
      </c>
      <c r="M9" s="14">
        <v>0</v>
      </c>
      <c r="N9" s="16">
        <v>0</v>
      </c>
      <c r="O9" s="14">
        <v>0</v>
      </c>
      <c r="P9" s="16">
        <v>0</v>
      </c>
      <c r="Q9" s="14">
        <v>0</v>
      </c>
      <c r="R9" s="16">
        <v>0</v>
      </c>
      <c r="S9" s="14">
        <v>0</v>
      </c>
      <c r="T9" s="16">
        <v>0</v>
      </c>
    </row>
    <row r="10" spans="1:20" x14ac:dyDescent="0.25">
      <c r="A10" s="11" t="s">
        <v>142</v>
      </c>
      <c r="B10" s="13">
        <v>10036</v>
      </c>
      <c r="C10" s="14">
        <f>(8354/B10*100)</f>
        <v>83.240334794738942</v>
      </c>
      <c r="D10" s="15">
        <v>1682</v>
      </c>
      <c r="E10" s="14">
        <v>26.976122459999999</v>
      </c>
      <c r="F10" s="16">
        <v>1.59202256</v>
      </c>
      <c r="G10" s="14">
        <v>16.879558230000001</v>
      </c>
      <c r="H10" s="16">
        <v>1.27466364</v>
      </c>
      <c r="I10" s="14">
        <v>56.14431931</v>
      </c>
      <c r="J10" s="16">
        <v>1.72335382</v>
      </c>
      <c r="K10" s="14" t="s">
        <v>139</v>
      </c>
      <c r="L10" s="16" t="s">
        <v>139</v>
      </c>
      <c r="M10" s="14">
        <v>0</v>
      </c>
      <c r="N10" s="16">
        <v>0</v>
      </c>
      <c r="O10" s="14">
        <v>0</v>
      </c>
      <c r="P10" s="16">
        <v>0</v>
      </c>
      <c r="Q10" s="14">
        <v>0</v>
      </c>
      <c r="R10" s="16">
        <v>0</v>
      </c>
      <c r="S10" s="14">
        <v>0</v>
      </c>
      <c r="T10" s="16">
        <v>0</v>
      </c>
    </row>
    <row r="11" spans="1:20" x14ac:dyDescent="0.25">
      <c r="A11" s="11" t="s">
        <v>143</v>
      </c>
      <c r="B11" s="13">
        <v>3553</v>
      </c>
      <c r="C11" s="14">
        <f>(2952/B11*100)</f>
        <v>83.084717140444695</v>
      </c>
      <c r="D11" s="15">
        <v>601</v>
      </c>
      <c r="E11" s="14">
        <v>41.37757774</v>
      </c>
      <c r="F11" s="16">
        <v>2.4352642599999998</v>
      </c>
      <c r="G11" s="14">
        <v>19.566716580000001</v>
      </c>
      <c r="H11" s="16">
        <v>2.2963916599999998</v>
      </c>
      <c r="I11" s="14">
        <v>39.055705680000003</v>
      </c>
      <c r="J11" s="16">
        <v>2.2825624699999998</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(2862/B12*100)</f>
        <v>82.430875576036868</v>
      </c>
      <c r="D12" s="15">
        <v>610</v>
      </c>
      <c r="E12" s="14">
        <v>21.185562770000001</v>
      </c>
      <c r="F12" s="16">
        <v>1.8217315700000001</v>
      </c>
      <c r="G12" s="14">
        <v>11.752355140000001</v>
      </c>
      <c r="H12" s="16">
        <v>1.5802255300000001</v>
      </c>
      <c r="I12" s="14">
        <v>67.062082090000004</v>
      </c>
      <c r="J12" s="16">
        <v>2.1792499599999999</v>
      </c>
      <c r="K12" s="14" t="s">
        <v>139</v>
      </c>
      <c r="L12" s="16" t="s">
        <v>139</v>
      </c>
      <c r="M12" s="14">
        <v>0</v>
      </c>
      <c r="N12" s="16">
        <v>0</v>
      </c>
      <c r="O12" s="14">
        <v>0</v>
      </c>
      <c r="P12" s="16">
        <v>0</v>
      </c>
      <c r="Q12" s="14">
        <v>0</v>
      </c>
      <c r="R12" s="16">
        <v>0</v>
      </c>
      <c r="S12" s="14">
        <v>0</v>
      </c>
      <c r="T12" s="16">
        <v>0</v>
      </c>
    </row>
    <row r="13" spans="1:20" x14ac:dyDescent="0.25">
      <c r="A13" s="11" t="s">
        <v>145</v>
      </c>
      <c r="B13" s="13">
        <v>3559</v>
      </c>
      <c r="C13" s="14">
        <f>(2994/B13*100)</f>
        <v>84.124754144422582</v>
      </c>
      <c r="D13" s="15">
        <v>565</v>
      </c>
      <c r="E13" s="14">
        <v>37.908432179999998</v>
      </c>
      <c r="F13" s="16">
        <v>2.5706634300000002</v>
      </c>
      <c r="G13" s="14">
        <v>21.09290056</v>
      </c>
      <c r="H13" s="16">
        <v>2.1970840599999999</v>
      </c>
      <c r="I13" s="14">
        <v>40.998667259999998</v>
      </c>
      <c r="J13" s="16">
        <v>2.3810414500000001</v>
      </c>
      <c r="K13" s="14" t="s">
        <v>139</v>
      </c>
      <c r="L13" s="16" t="s">
        <v>139</v>
      </c>
      <c r="M13" s="14">
        <v>0</v>
      </c>
      <c r="N13" s="16">
        <v>0</v>
      </c>
      <c r="O13" s="14">
        <v>0</v>
      </c>
      <c r="P13" s="16">
        <v>0</v>
      </c>
      <c r="Q13" s="14">
        <v>0</v>
      </c>
      <c r="R13" s="16">
        <v>0</v>
      </c>
      <c r="S13" s="14">
        <v>0</v>
      </c>
      <c r="T13" s="16">
        <v>0</v>
      </c>
    </row>
    <row r="14" spans="1:20" x14ac:dyDescent="0.25">
      <c r="A14" s="11" t="s">
        <v>146</v>
      </c>
      <c r="B14" s="13">
        <v>2799</v>
      </c>
      <c r="C14" s="14">
        <f>(2318/B14*100)</f>
        <v>82.815291175419787</v>
      </c>
      <c r="D14" s="15">
        <v>481</v>
      </c>
      <c r="E14" s="14">
        <v>24.457693209999999</v>
      </c>
      <c r="F14" s="16">
        <v>2.3699505099999998</v>
      </c>
      <c r="G14" s="14">
        <v>18.04758756</v>
      </c>
      <c r="H14" s="16">
        <v>1.6749076700000001</v>
      </c>
      <c r="I14" s="14">
        <v>57.494719230000001</v>
      </c>
      <c r="J14" s="16">
        <v>2.5931433099999999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(2508/B15*100)</f>
        <v>83.07386551838357</v>
      </c>
      <c r="D15" s="15">
        <v>511</v>
      </c>
      <c r="E15" s="14">
        <v>21.183801670000001</v>
      </c>
      <c r="F15" s="16">
        <v>1.9049425600000001</v>
      </c>
      <c r="G15" s="14">
        <v>18.68308399</v>
      </c>
      <c r="H15" s="16">
        <v>1.7498284500000001</v>
      </c>
      <c r="I15" s="14">
        <v>60.133114339999999</v>
      </c>
      <c r="J15" s="16">
        <v>2.2630998600000001</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(2512/B16*100)</f>
        <v>83.817150483817144</v>
      </c>
      <c r="D16" s="15">
        <v>485</v>
      </c>
      <c r="E16" s="14">
        <v>35.319814379999997</v>
      </c>
      <c r="F16" s="16">
        <v>2.2053442300000001</v>
      </c>
      <c r="G16" s="14">
        <v>20.157300280000001</v>
      </c>
      <c r="H16" s="16">
        <v>1.66138301</v>
      </c>
      <c r="I16" s="14">
        <v>44.522885340000002</v>
      </c>
      <c r="J16" s="16">
        <v>2.2745716900000001</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(2790/B17*100)</f>
        <v>84.366495312972475</v>
      </c>
      <c r="D17" s="15">
        <v>517</v>
      </c>
      <c r="E17" s="14">
        <v>32.414526549999998</v>
      </c>
      <c r="F17" s="16">
        <v>2.0020951600000001</v>
      </c>
      <c r="G17" s="14">
        <v>17.801348260000001</v>
      </c>
      <c r="H17" s="16">
        <v>1.6463873</v>
      </c>
      <c r="I17" s="14">
        <v>49.784125189999997</v>
      </c>
      <c r="J17" s="16">
        <v>2.0026560199999999</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(2345/B18*100)</f>
        <v>82.979476291578209</v>
      </c>
      <c r="D18" s="15">
        <v>481</v>
      </c>
      <c r="E18" s="14">
        <v>44.075533929999999</v>
      </c>
      <c r="F18" s="16">
        <v>2.9721733600000002</v>
      </c>
      <c r="G18" s="14">
        <v>26.020207970000001</v>
      </c>
      <c r="H18" s="16">
        <v>2.1363651400000001</v>
      </c>
      <c r="I18" s="14">
        <v>29.9042581</v>
      </c>
      <c r="J18" s="16">
        <v>2.50302604</v>
      </c>
      <c r="K18" s="14" t="s">
        <v>139</v>
      </c>
      <c r="L18" s="16" t="s">
        <v>139</v>
      </c>
      <c r="M18" s="14">
        <v>0</v>
      </c>
      <c r="N18" s="16">
        <v>0</v>
      </c>
      <c r="O18" s="14">
        <v>0</v>
      </c>
      <c r="P18" s="16">
        <v>0</v>
      </c>
      <c r="Q18" s="14">
        <v>0</v>
      </c>
      <c r="R18" s="16">
        <v>0</v>
      </c>
      <c r="S18" s="14">
        <v>0</v>
      </c>
      <c r="T18" s="16">
        <v>0</v>
      </c>
    </row>
    <row r="19" spans="1:20" x14ac:dyDescent="0.25">
      <c r="A19" s="11" t="s">
        <v>151</v>
      </c>
      <c r="B19" s="13">
        <v>2808</v>
      </c>
      <c r="C19" s="14">
        <f>(2332/B19*100)</f>
        <v>83.04843304843304</v>
      </c>
      <c r="D19" s="15">
        <v>476</v>
      </c>
      <c r="E19" s="14">
        <v>40.739331919999998</v>
      </c>
      <c r="F19" s="16">
        <v>2.3777538200000001</v>
      </c>
      <c r="G19" s="14">
        <v>11.992008780000001</v>
      </c>
      <c r="H19" s="16">
        <v>1.80472978</v>
      </c>
      <c r="I19" s="14">
        <v>47.268659300000003</v>
      </c>
      <c r="J19" s="16">
        <v>2.3607276599999998</v>
      </c>
      <c r="K19" s="14" t="s">
        <v>139</v>
      </c>
      <c r="L19" s="16" t="s">
        <v>139</v>
      </c>
      <c r="M19" s="14">
        <v>0</v>
      </c>
      <c r="N19" s="16">
        <v>0</v>
      </c>
      <c r="O19" s="14">
        <v>0</v>
      </c>
      <c r="P19" s="16">
        <v>0</v>
      </c>
      <c r="Q19" s="14">
        <v>0</v>
      </c>
      <c r="R19" s="16">
        <v>0</v>
      </c>
      <c r="S19" s="14">
        <v>0</v>
      </c>
      <c r="T19" s="16">
        <v>0</v>
      </c>
    </row>
    <row r="20" spans="1:20" x14ac:dyDescent="0.25">
      <c r="A20" s="11" t="s">
        <v>152</v>
      </c>
      <c r="B20" s="13">
        <v>1630</v>
      </c>
      <c r="C20" s="14">
        <f>(1359/B20*100)</f>
        <v>83.374233128834348</v>
      </c>
      <c r="D20" s="15">
        <v>271</v>
      </c>
      <c r="E20" s="14">
        <v>32.495317610000001</v>
      </c>
      <c r="F20" s="16">
        <v>2.8488897899999999</v>
      </c>
      <c r="G20" s="14">
        <v>17.520899570000001</v>
      </c>
      <c r="H20" s="16">
        <v>2.2792885900000002</v>
      </c>
      <c r="I20" s="14">
        <v>49.983782830000003</v>
      </c>
      <c r="J20" s="16">
        <v>3.1845422000000001</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(2443/B22*100)</f>
        <v>83.350392357557141</v>
      </c>
      <c r="D22" s="15">
        <v>488</v>
      </c>
      <c r="E22" s="14">
        <v>32.410234809999999</v>
      </c>
      <c r="F22" s="16">
        <v>2.4279595999999999</v>
      </c>
      <c r="G22" s="14">
        <v>13.82829379</v>
      </c>
      <c r="H22" s="16">
        <v>1.5234048600000001</v>
      </c>
      <c r="I22" s="14">
        <v>53.761471399999998</v>
      </c>
      <c r="J22" s="16">
        <v>2.6817905500000001</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(4792/B23*100)</f>
        <v>82.749093420825417</v>
      </c>
      <c r="D23" s="15">
        <v>999</v>
      </c>
      <c r="E23" s="14">
        <v>33.538009440000003</v>
      </c>
      <c r="F23" s="16">
        <v>2.1260255699999999</v>
      </c>
      <c r="G23" s="14">
        <v>22.820436090000001</v>
      </c>
      <c r="H23" s="16">
        <v>1.5697653899999999</v>
      </c>
      <c r="I23" s="14">
        <v>43.641554470000003</v>
      </c>
      <c r="J23" s="16">
        <v>1.9838858800000001</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(2774/B24*100)</f>
        <v>83.103654883163571</v>
      </c>
      <c r="D24" s="15">
        <v>564</v>
      </c>
      <c r="E24" s="14">
        <v>9.8526757000000007</v>
      </c>
      <c r="F24" s="16">
        <v>1.1942279</v>
      </c>
      <c r="G24" s="14">
        <v>16.885979720000002</v>
      </c>
      <c r="H24" s="16">
        <v>1.62023457</v>
      </c>
      <c r="I24" s="14">
        <v>73.261344579999999</v>
      </c>
      <c r="J24" s="16">
        <v>1.7291113</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12.4585665</v>
      </c>
      <c r="F25" s="16">
        <v>1.5303367000000001</v>
      </c>
      <c r="G25" s="14">
        <v>16.65256231</v>
      </c>
      <c r="H25" s="16">
        <v>1.32475937</v>
      </c>
      <c r="I25" s="14">
        <v>70.888871199999997</v>
      </c>
      <c r="J25" s="16">
        <v>1.7900182</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(2045/B26*100)</f>
        <v>83.469387755102048</v>
      </c>
      <c r="D26" s="15">
        <v>405</v>
      </c>
      <c r="E26" s="14">
        <v>49.022465599999997</v>
      </c>
      <c r="F26" s="16">
        <v>2.7647551699999999</v>
      </c>
      <c r="G26" s="14">
        <v>19.412692629999999</v>
      </c>
      <c r="H26" s="16">
        <v>2.3241780599999999</v>
      </c>
      <c r="I26" s="14">
        <v>31.564841770000001</v>
      </c>
      <c r="J26" s="16">
        <v>2.5848328899999999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(2182/B27*100)</f>
        <v>83.409785932721718</v>
      </c>
      <c r="D27" s="15">
        <v>434</v>
      </c>
      <c r="E27" s="14">
        <v>35.11516203</v>
      </c>
      <c r="F27" s="16">
        <v>2.1729805600000001</v>
      </c>
      <c r="G27" s="14">
        <v>22.994089070000001</v>
      </c>
      <c r="H27" s="16">
        <v>1.9461000799999999</v>
      </c>
      <c r="I27" s="14">
        <v>41.890748899999998</v>
      </c>
      <c r="J27" s="16">
        <v>2.6088458399999999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(3145/B28*100)</f>
        <v>83.53253652058433</v>
      </c>
      <c r="D28" s="15">
        <v>620</v>
      </c>
      <c r="E28" s="14">
        <v>41.12086532</v>
      </c>
      <c r="F28" s="16">
        <v>2.1926743800000001</v>
      </c>
      <c r="G28" s="14">
        <v>10.72709749</v>
      </c>
      <c r="H28" s="16">
        <v>1.2308912000000001</v>
      </c>
      <c r="I28" s="14">
        <v>48.152037190000001</v>
      </c>
      <c r="J28" s="16">
        <v>2.22296725</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18.016366479999999</v>
      </c>
      <c r="F29" s="16">
        <v>1.9830670800000001</v>
      </c>
      <c r="G29" s="14">
        <v>18.155671000000002</v>
      </c>
      <c r="H29" s="16">
        <v>2.0976722799999998</v>
      </c>
      <c r="I29" s="14">
        <v>63.827962509999999</v>
      </c>
      <c r="J29" s="16">
        <v>2.4405586700000002</v>
      </c>
      <c r="K29" s="14" t="s">
        <v>139</v>
      </c>
      <c r="L29" s="16" t="s">
        <v>139</v>
      </c>
      <c r="M29" s="14">
        <v>0</v>
      </c>
      <c r="N29" s="16">
        <v>0</v>
      </c>
      <c r="O29" s="14">
        <v>0</v>
      </c>
      <c r="P29" s="16">
        <v>0</v>
      </c>
      <c r="Q29" s="14">
        <v>0</v>
      </c>
      <c r="R29" s="16">
        <v>0</v>
      </c>
      <c r="S29" s="14">
        <v>0</v>
      </c>
      <c r="T29" s="16">
        <v>0</v>
      </c>
    </row>
    <row r="30" spans="1:20" x14ac:dyDescent="0.25">
      <c r="A30" s="11" t="s">
        <v>163</v>
      </c>
      <c r="B30" s="13">
        <v>2263</v>
      </c>
      <c r="C30" s="14">
        <f>(1886/B30*100)</f>
        <v>83.340698188245682</v>
      </c>
      <c r="D30" s="15">
        <v>377</v>
      </c>
      <c r="E30" s="14">
        <v>33.777120779999997</v>
      </c>
      <c r="F30" s="16">
        <v>2.5957456200000002</v>
      </c>
      <c r="G30" s="14">
        <v>15.98896352</v>
      </c>
      <c r="H30" s="16">
        <v>1.9548626899999999</v>
      </c>
      <c r="I30" s="14">
        <v>50.233915699999997</v>
      </c>
      <c r="J30" s="16">
        <v>2.8404884199999998</v>
      </c>
      <c r="K30" s="14" t="s">
        <v>139</v>
      </c>
      <c r="L30" s="16" t="s">
        <v>139</v>
      </c>
      <c r="M30" s="14">
        <v>0</v>
      </c>
      <c r="N30" s="16">
        <v>0</v>
      </c>
      <c r="O30" s="14">
        <v>0</v>
      </c>
      <c r="P30" s="16">
        <v>0</v>
      </c>
      <c r="Q30" s="14">
        <v>0</v>
      </c>
      <c r="R30" s="16">
        <v>0</v>
      </c>
      <c r="S30" s="14">
        <v>0</v>
      </c>
      <c r="T30" s="16">
        <v>0</v>
      </c>
    </row>
    <row r="31" spans="1:20" x14ac:dyDescent="0.25">
      <c r="A31" s="11" t="s">
        <v>164</v>
      </c>
      <c r="B31" s="13">
        <v>2750</v>
      </c>
      <c r="C31" s="14">
        <f>(2295/B31*100)</f>
        <v>83.454545454545453</v>
      </c>
      <c r="D31" s="15">
        <v>455</v>
      </c>
      <c r="E31" s="14">
        <v>27.672027549999999</v>
      </c>
      <c r="F31" s="16">
        <v>2.2635843699999998</v>
      </c>
      <c r="G31" s="14">
        <v>12.505091889999999</v>
      </c>
      <c r="H31" s="16">
        <v>1.6884992000000001</v>
      </c>
      <c r="I31" s="14">
        <v>59.822880560000002</v>
      </c>
      <c r="J31" s="16">
        <v>2.3811117099999999</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(3055/B33*100)</f>
        <v>83.151878062057705</v>
      </c>
      <c r="D33" s="15">
        <v>619</v>
      </c>
      <c r="E33" s="14">
        <v>42.512321890000003</v>
      </c>
      <c r="F33" s="16">
        <v>2.0382677500000002</v>
      </c>
      <c r="G33" s="14">
        <v>21.63408518</v>
      </c>
      <c r="H33" s="16">
        <v>1.93530621</v>
      </c>
      <c r="I33" s="14">
        <v>35.853592929999998</v>
      </c>
      <c r="J33" s="16">
        <v>2.1704334200000002</v>
      </c>
      <c r="K33" s="14" t="s">
        <v>139</v>
      </c>
      <c r="L33" s="16" t="s">
        <v>139</v>
      </c>
      <c r="M33" s="14">
        <v>0</v>
      </c>
      <c r="N33" s="16">
        <v>0</v>
      </c>
      <c r="O33" s="14">
        <v>0</v>
      </c>
      <c r="P33" s="16">
        <v>0</v>
      </c>
      <c r="Q33" s="14">
        <v>0</v>
      </c>
      <c r="R33" s="16">
        <v>0</v>
      </c>
      <c r="S33" s="14">
        <v>0</v>
      </c>
      <c r="T33" s="16">
        <v>0</v>
      </c>
    </row>
    <row r="34" spans="1:20" x14ac:dyDescent="0.25">
      <c r="A34" s="11" t="s">
        <v>167</v>
      </c>
      <c r="B34" s="13">
        <v>3315</v>
      </c>
      <c r="C34" s="14">
        <f>(2767/B34*100)</f>
        <v>83.469079939668177</v>
      </c>
      <c r="D34" s="15">
        <v>548</v>
      </c>
      <c r="E34" s="14">
        <v>38.444332379999999</v>
      </c>
      <c r="F34" s="16">
        <v>2.3427148500000001</v>
      </c>
      <c r="G34" s="14">
        <v>17.97643184</v>
      </c>
      <c r="H34" s="16">
        <v>1.6413387100000001</v>
      </c>
      <c r="I34" s="14">
        <v>43.579235779999998</v>
      </c>
      <c r="J34" s="16">
        <v>2.2477260600000002</v>
      </c>
      <c r="K34" s="14" t="s">
        <v>139</v>
      </c>
      <c r="L34" s="16" t="s">
        <v>139</v>
      </c>
      <c r="M34" s="14">
        <v>0</v>
      </c>
      <c r="N34" s="16">
        <v>0</v>
      </c>
      <c r="O34" s="14">
        <v>0</v>
      </c>
      <c r="P34" s="16">
        <v>0</v>
      </c>
      <c r="Q34" s="14">
        <v>0</v>
      </c>
      <c r="R34" s="16">
        <v>0</v>
      </c>
      <c r="S34" s="14">
        <v>0</v>
      </c>
      <c r="T34" s="16">
        <v>0</v>
      </c>
    </row>
    <row r="35" spans="1:20" x14ac:dyDescent="0.25">
      <c r="A35" s="11" t="s">
        <v>168</v>
      </c>
      <c r="B35" s="13">
        <v>3505</v>
      </c>
      <c r="C35" s="14">
        <f>(2927/B35*100)</f>
        <v>83.509272467902989</v>
      </c>
      <c r="D35" s="15">
        <v>578</v>
      </c>
      <c r="E35" s="14">
        <v>26.943783499999999</v>
      </c>
      <c r="F35" s="16">
        <v>2.4664057000000001</v>
      </c>
      <c r="G35" s="14">
        <v>13.996134809999999</v>
      </c>
      <c r="H35" s="16">
        <v>1.5847657500000001</v>
      </c>
      <c r="I35" s="14">
        <v>59.060081689999997</v>
      </c>
      <c r="J35" s="16">
        <v>2.48086494</v>
      </c>
      <c r="K35" s="14" t="s">
        <v>139</v>
      </c>
      <c r="L35" s="16" t="s">
        <v>139</v>
      </c>
      <c r="M35" s="14">
        <v>0</v>
      </c>
      <c r="N35" s="16">
        <v>0</v>
      </c>
      <c r="O35" s="14">
        <v>0</v>
      </c>
      <c r="P35" s="16">
        <v>0</v>
      </c>
      <c r="Q35" s="14">
        <v>0</v>
      </c>
      <c r="R35" s="16">
        <v>0</v>
      </c>
      <c r="S35" s="14">
        <v>0</v>
      </c>
      <c r="T35" s="16">
        <v>0</v>
      </c>
    </row>
    <row r="36" spans="1:20" x14ac:dyDescent="0.25">
      <c r="A36" s="11" t="s">
        <v>169</v>
      </c>
      <c r="B36" s="13">
        <v>3332</v>
      </c>
      <c r="C36" s="14">
        <f>(2754/B36*100)</f>
        <v>82.653061224489804</v>
      </c>
      <c r="D36" s="15">
        <v>578</v>
      </c>
      <c r="E36" s="14">
        <v>31.016063840000001</v>
      </c>
      <c r="F36" s="16">
        <v>2.2633149100000001</v>
      </c>
      <c r="G36" s="14">
        <v>13.77635761</v>
      </c>
      <c r="H36" s="16">
        <v>1.45636009</v>
      </c>
      <c r="I36" s="14">
        <v>55.20757854</v>
      </c>
      <c r="J36" s="16">
        <v>2.2142889800000001</v>
      </c>
      <c r="K36" s="14" t="s">
        <v>139</v>
      </c>
      <c r="L36" s="16" t="s">
        <v>139</v>
      </c>
      <c r="M36" s="14">
        <v>0</v>
      </c>
      <c r="N36" s="16">
        <v>0</v>
      </c>
      <c r="O36" s="14">
        <v>0</v>
      </c>
      <c r="P36" s="16">
        <v>0</v>
      </c>
      <c r="Q36" s="14">
        <v>0</v>
      </c>
      <c r="R36" s="16">
        <v>0</v>
      </c>
      <c r="S36" s="14">
        <v>0</v>
      </c>
      <c r="T36" s="16">
        <v>0</v>
      </c>
    </row>
    <row r="37" spans="1:20" x14ac:dyDescent="0.25">
      <c r="A37" s="11" t="s">
        <v>170</v>
      </c>
      <c r="B37" s="13">
        <v>2727</v>
      </c>
      <c r="C37" s="14">
        <f>(2285/B37*100)</f>
        <v>83.791712504583799</v>
      </c>
      <c r="D37" s="15">
        <v>442</v>
      </c>
      <c r="E37" s="14">
        <v>33.540705729999999</v>
      </c>
      <c r="F37" s="16">
        <v>2.0254493600000001</v>
      </c>
      <c r="G37" s="14">
        <v>18.01812833</v>
      </c>
      <c r="H37" s="16">
        <v>1.9197939100000001</v>
      </c>
      <c r="I37" s="14">
        <v>48.441165939999998</v>
      </c>
      <c r="J37" s="16">
        <v>2.4991141699999999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46.139649409999997</v>
      </c>
      <c r="F39" s="16">
        <v>2.3928244200000002</v>
      </c>
      <c r="G39" s="14">
        <v>18.81583754</v>
      </c>
      <c r="H39" s="16">
        <v>2.0922534000000002</v>
      </c>
      <c r="I39" s="14">
        <v>35.044513049999999</v>
      </c>
      <c r="J39" s="16">
        <v>2.63012085</v>
      </c>
      <c r="K39" s="14" t="s">
        <v>139</v>
      </c>
      <c r="L39" s="16" t="s">
        <v>139</v>
      </c>
      <c r="M39" s="14">
        <v>0</v>
      </c>
      <c r="N39" s="16">
        <v>0</v>
      </c>
      <c r="O39" s="14">
        <v>0</v>
      </c>
      <c r="P39" s="16">
        <v>0</v>
      </c>
      <c r="Q39" s="14">
        <v>0</v>
      </c>
      <c r="R39" s="16">
        <v>0</v>
      </c>
      <c r="S39" s="14">
        <v>0</v>
      </c>
      <c r="T39" s="16">
        <v>0</v>
      </c>
    </row>
    <row r="40" spans="1:20" x14ac:dyDescent="0.25">
      <c r="A40" s="11" t="s">
        <v>173</v>
      </c>
      <c r="B40" s="13">
        <v>7235</v>
      </c>
      <c r="C40" s="14">
        <f>(6008/B40*100)</f>
        <v>83.040774015203866</v>
      </c>
      <c r="D40" s="15">
        <v>1227</v>
      </c>
      <c r="E40" s="14">
        <v>27.643060819999999</v>
      </c>
      <c r="F40" s="16">
        <v>2.2740684799999999</v>
      </c>
      <c r="G40" s="14">
        <v>20.20797876</v>
      </c>
      <c r="H40" s="16">
        <v>2.0221620599999999</v>
      </c>
      <c r="I40" s="14">
        <v>52.148960420000002</v>
      </c>
      <c r="J40" s="16">
        <v>2.9433279300000001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(2382/B41*100)</f>
        <v>83.344996501049678</v>
      </c>
      <c r="D41" s="15">
        <v>476</v>
      </c>
      <c r="E41" s="14">
        <v>27.140396769999999</v>
      </c>
      <c r="F41" s="16">
        <v>2.2590725100000002</v>
      </c>
      <c r="G41" s="14">
        <v>20.81202566</v>
      </c>
      <c r="H41" s="16">
        <v>1.9056365799999999</v>
      </c>
      <c r="I41" s="14">
        <v>52.047577570000001</v>
      </c>
      <c r="J41" s="16">
        <v>2.4810261300000001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83.243956312158545</v>
      </c>
      <c r="D42" s="15">
        <f>IF(COUNT(D7:D41) &gt; 0, AVERAGE(D7:D41), "—")</f>
        <v>612.9375</v>
      </c>
      <c r="E42" s="14">
        <f>IF(COUNT(E7:E41) &gt; 0, AVERAGE(E7:E41), "—")</f>
        <v>31.615330739999997</v>
      </c>
      <c r="F42" s="16">
        <f>IF(COUNT(F7:F41) &gt; 0, SQRT(SUMSQ(F7:F41)/(COUNT(F7:F41)*COUNT(F7:F41)) ), "—")</f>
        <v>0.39163229811696365</v>
      </c>
      <c r="G42" s="14">
        <f>IF(COUNT(G7:G41) &gt; 0, AVERAGE(G7:G41), "—")</f>
        <v>17.920001104374997</v>
      </c>
      <c r="H42" s="16">
        <f>IF(COUNT(H7:H41) &gt; 0, SQRT(SUMSQ(H7:H41)/(COUNT(H7:H41)*COUNT(H7:H41)) ), "—")</f>
        <v>0.3164633811601012</v>
      </c>
      <c r="I42" s="14">
        <f>IF(COUNT(I7:I41) &gt; 0, AVERAGE(I7:I41), "—")</f>
        <v>50.464668156249999</v>
      </c>
      <c r="J42" s="16">
        <f>IF(COUNT(J7:J41) &gt; 0, SQRT(SUMSQ(J7:J41)/(COUNT(J7:J41)*COUNT(J7:J41)) ), "—")</f>
        <v>0.41515137027407967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(9504/B46*100)</f>
        <v>85.869172388868805</v>
      </c>
      <c r="D46" s="15">
        <v>1564</v>
      </c>
      <c r="E46" s="14">
        <v>44.807004759999998</v>
      </c>
      <c r="F46" s="16">
        <v>1.71661485</v>
      </c>
      <c r="G46" s="14">
        <v>16.569477259999999</v>
      </c>
      <c r="H46" s="16">
        <v>1.03680555</v>
      </c>
      <c r="I46" s="14">
        <v>38.623517990000003</v>
      </c>
      <c r="J46" s="16">
        <v>1.6863694</v>
      </c>
      <c r="K46" s="14" t="s">
        <v>139</v>
      </c>
      <c r="L46" s="16" t="s">
        <v>139</v>
      </c>
      <c r="M46" s="14">
        <v>0</v>
      </c>
      <c r="N46" s="16">
        <v>0</v>
      </c>
      <c r="O46" s="14">
        <v>0</v>
      </c>
      <c r="P46" s="16">
        <v>0</v>
      </c>
      <c r="Q46" s="14">
        <v>0</v>
      </c>
      <c r="R46" s="16">
        <v>0</v>
      </c>
      <c r="S46" s="14">
        <v>0</v>
      </c>
      <c r="T46" s="16">
        <v>0</v>
      </c>
    </row>
    <row r="47" spans="1:20" x14ac:dyDescent="0.25">
      <c r="A47" s="11" t="s">
        <v>180</v>
      </c>
      <c r="B47" s="13">
        <v>3105</v>
      </c>
      <c r="C47" s="14">
        <f>(2595/B47*100)</f>
        <v>83.574879227053145</v>
      </c>
      <c r="D47" s="15">
        <v>510</v>
      </c>
      <c r="E47" s="14">
        <v>42.504563349999998</v>
      </c>
      <c r="F47" s="16">
        <v>2.2363237599999999</v>
      </c>
      <c r="G47" s="14">
        <v>18.20140834</v>
      </c>
      <c r="H47" s="16">
        <v>1.87230929</v>
      </c>
      <c r="I47" s="14">
        <v>39.294028310000002</v>
      </c>
      <c r="J47" s="16">
        <v>2.3061627900000001</v>
      </c>
      <c r="K47" s="14" t="s">
        <v>139</v>
      </c>
      <c r="L47" s="16" t="s">
        <v>139</v>
      </c>
      <c r="M47" s="14">
        <v>0</v>
      </c>
      <c r="N47" s="16">
        <v>0</v>
      </c>
      <c r="O47" s="14">
        <v>0</v>
      </c>
      <c r="P47" s="16">
        <v>0</v>
      </c>
      <c r="Q47" s="14">
        <v>0</v>
      </c>
      <c r="R47" s="16">
        <v>0</v>
      </c>
      <c r="S47" s="14">
        <v>0</v>
      </c>
      <c r="T47" s="16">
        <v>0</v>
      </c>
    </row>
    <row r="48" spans="1:20" x14ac:dyDescent="0.25">
      <c r="A48" s="11" t="s">
        <v>181</v>
      </c>
      <c r="B48" s="13">
        <v>5159</v>
      </c>
      <c r="C48" s="14">
        <f>(4286/B48*100)</f>
        <v>83.078115913936813</v>
      </c>
      <c r="D48" s="15">
        <v>873</v>
      </c>
      <c r="E48" s="14">
        <v>28.792263040000002</v>
      </c>
      <c r="F48" s="16">
        <v>2.17721601</v>
      </c>
      <c r="G48" s="14">
        <v>11.912324809999999</v>
      </c>
      <c r="H48" s="16">
        <v>1.2436928899999999</v>
      </c>
      <c r="I48" s="14">
        <v>59.295412159999998</v>
      </c>
      <c r="J48" s="16">
        <v>2.3582119600000002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(4677/B50*100)</f>
        <v>82.969664715274078</v>
      </c>
      <c r="D50" s="15">
        <v>960</v>
      </c>
      <c r="E50" s="14">
        <v>42.862773789999999</v>
      </c>
      <c r="F50" s="16">
        <v>2.4819948699999999</v>
      </c>
      <c r="G50" s="14">
        <v>18.610843030000002</v>
      </c>
      <c r="H50" s="16">
        <v>1.8089570500000001</v>
      </c>
      <c r="I50" s="14">
        <v>38.526383180000003</v>
      </c>
      <c r="J50" s="16">
        <v>2.0381079899999999</v>
      </c>
      <c r="K50" s="14" t="s">
        <v>139</v>
      </c>
      <c r="L50" s="16" t="s">
        <v>139</v>
      </c>
      <c r="M50" s="14">
        <v>0</v>
      </c>
      <c r="N50" s="16">
        <v>0</v>
      </c>
      <c r="O50" s="14">
        <v>0</v>
      </c>
      <c r="P50" s="16">
        <v>0</v>
      </c>
      <c r="Q50" s="14">
        <v>0</v>
      </c>
      <c r="R50" s="16">
        <v>0</v>
      </c>
      <c r="S50" s="14">
        <v>0</v>
      </c>
      <c r="T50" s="16">
        <v>0</v>
      </c>
    </row>
    <row r="51" spans="1:20" x14ac:dyDescent="0.25">
      <c r="A51" s="11" t="s">
        <v>184</v>
      </c>
      <c r="B51" s="13">
        <v>3372</v>
      </c>
      <c r="C51" s="14">
        <f>(2852/B51*100)</f>
        <v>84.578884934756829</v>
      </c>
      <c r="D51" s="15">
        <v>520</v>
      </c>
      <c r="E51" s="14">
        <v>41.347998439999998</v>
      </c>
      <c r="F51" s="16">
        <v>2.0138740199999998</v>
      </c>
      <c r="G51" s="14">
        <v>15.92237963</v>
      </c>
      <c r="H51" s="16">
        <v>1.68845164</v>
      </c>
      <c r="I51" s="14">
        <v>42.72962193</v>
      </c>
      <c r="J51" s="16">
        <v>2.2858576099999999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(2340/B52*100)</f>
        <v>83.690987124463518</v>
      </c>
      <c r="D52" s="15">
        <v>456</v>
      </c>
      <c r="E52" s="14">
        <v>30.161919180000002</v>
      </c>
      <c r="F52" s="16">
        <v>2.1744709800000002</v>
      </c>
      <c r="G52" s="14">
        <v>16.933913010000001</v>
      </c>
      <c r="H52" s="16">
        <v>1.7060384</v>
      </c>
      <c r="I52" s="14">
        <v>52.904167809999997</v>
      </c>
      <c r="J52" s="16">
        <v>2.1088590200000001</v>
      </c>
      <c r="K52" s="14" t="s">
        <v>139</v>
      </c>
      <c r="L52" s="16" t="s">
        <v>139</v>
      </c>
      <c r="M52" s="14">
        <v>0</v>
      </c>
      <c r="N52" s="16">
        <v>0</v>
      </c>
      <c r="O52" s="14">
        <v>0</v>
      </c>
      <c r="P52" s="16">
        <v>0</v>
      </c>
      <c r="Q52" s="14">
        <v>0</v>
      </c>
      <c r="R52" s="16">
        <v>0</v>
      </c>
      <c r="S52" s="14">
        <v>0</v>
      </c>
      <c r="T52" s="16">
        <v>0</v>
      </c>
    </row>
    <row r="53" spans="1:20" x14ac:dyDescent="0.25">
      <c r="A53" s="11" t="s">
        <v>186</v>
      </c>
      <c r="B53" s="13">
        <v>2811</v>
      </c>
      <c r="C53" s="14">
        <f>(2335/B53*100)</f>
        <v>83.066524368552123</v>
      </c>
      <c r="D53" s="15">
        <v>476</v>
      </c>
      <c r="E53" s="14">
        <v>43.931787839999998</v>
      </c>
      <c r="F53" s="16">
        <v>2.21692255</v>
      </c>
      <c r="G53" s="14">
        <v>20.880679730000001</v>
      </c>
      <c r="H53" s="16">
        <v>1.8421896900000001</v>
      </c>
      <c r="I53" s="14">
        <v>35.187532429999997</v>
      </c>
      <c r="J53" s="16">
        <v>2.2587733800000001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(2240/B56*100)</f>
        <v>83.457526080476896</v>
      </c>
      <c r="D56" s="15">
        <v>444</v>
      </c>
      <c r="E56" s="14">
        <v>19.367538799999998</v>
      </c>
      <c r="F56" s="16">
        <v>2.00981751</v>
      </c>
      <c r="G56" s="14">
        <v>12.03157933</v>
      </c>
      <c r="H56" s="16">
        <v>1.7831210099999999</v>
      </c>
      <c r="I56" s="14">
        <v>68.600881869999995</v>
      </c>
      <c r="J56" s="16">
        <v>2.4726808</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(2779/B61*100)</f>
        <v>83.604091456077015</v>
      </c>
      <c r="D61" s="15">
        <v>545</v>
      </c>
      <c r="E61" s="14">
        <v>40.403016610000002</v>
      </c>
      <c r="F61" s="16">
        <v>2.1692360700000002</v>
      </c>
      <c r="G61" s="14">
        <v>16.834970049999999</v>
      </c>
      <c r="H61" s="16">
        <v>1.7690073399999999</v>
      </c>
      <c r="I61" s="14">
        <v>42.762013340000003</v>
      </c>
      <c r="J61" s="16">
        <v>2.1414030099999999</v>
      </c>
      <c r="K61" s="14" t="s">
        <v>139</v>
      </c>
      <c r="L61" s="16" t="s">
        <v>139</v>
      </c>
      <c r="M61" s="14">
        <v>0</v>
      </c>
      <c r="N61" s="16">
        <v>0</v>
      </c>
      <c r="O61" s="14">
        <v>0</v>
      </c>
      <c r="P61" s="16">
        <v>0</v>
      </c>
      <c r="Q61" s="14">
        <v>0</v>
      </c>
      <c r="R61" s="16">
        <v>0</v>
      </c>
      <c r="S61" s="14">
        <v>0</v>
      </c>
      <c r="T61" s="16">
        <v>0</v>
      </c>
    </row>
    <row r="62" spans="1:20" x14ac:dyDescent="0.25">
      <c r="A62" s="11" t="s">
        <v>195</v>
      </c>
      <c r="B62" s="13">
        <v>2246</v>
      </c>
      <c r="C62" s="14">
        <f>(1846/B62*100)</f>
        <v>82.190560997328589</v>
      </c>
      <c r="D62" s="15">
        <v>400</v>
      </c>
      <c r="E62" s="14">
        <v>24.553597799999999</v>
      </c>
      <c r="F62" s="16">
        <v>2.0216175299999999</v>
      </c>
      <c r="G62" s="14">
        <v>12.774472400000001</v>
      </c>
      <c r="H62" s="16">
        <v>1.61796981</v>
      </c>
      <c r="I62" s="14">
        <v>62.671929800000001</v>
      </c>
      <c r="J62" s="16">
        <v>2.4428538899999999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(2437/B66*100)</f>
        <v>84.208707671043541</v>
      </c>
      <c r="D66" s="15">
        <v>457</v>
      </c>
      <c r="E66" s="14">
        <v>56.69230924</v>
      </c>
      <c r="F66" s="16">
        <v>2.3093815900000001</v>
      </c>
      <c r="G66" s="14">
        <v>19.413482460000001</v>
      </c>
      <c r="H66" s="16">
        <v>2.0127024200000001</v>
      </c>
      <c r="I66" s="14">
        <v>23.894208299999999</v>
      </c>
      <c r="J66" s="16">
        <v>2.0454955899999998</v>
      </c>
      <c r="K66" s="14" t="s">
        <v>139</v>
      </c>
      <c r="L66" s="16" t="s">
        <v>139</v>
      </c>
      <c r="M66" s="14">
        <v>0</v>
      </c>
      <c r="N66" s="16">
        <v>0</v>
      </c>
      <c r="O66" s="14">
        <v>0</v>
      </c>
      <c r="P66" s="16">
        <v>0</v>
      </c>
      <c r="Q66" s="14">
        <v>0</v>
      </c>
      <c r="R66" s="16">
        <v>0</v>
      </c>
      <c r="S66" s="14">
        <v>0</v>
      </c>
      <c r="T66" s="16">
        <v>0</v>
      </c>
    </row>
    <row r="67" spans="1:20" x14ac:dyDescent="0.25">
      <c r="A67" s="11" t="s">
        <v>200</v>
      </c>
      <c r="B67" s="13">
        <v>3511</v>
      </c>
      <c r="C67" s="14">
        <f>(2954/B67*100)</f>
        <v>84.135573910566791</v>
      </c>
      <c r="D67" s="15">
        <v>557</v>
      </c>
      <c r="E67" s="14">
        <v>50.124244320000003</v>
      </c>
      <c r="F67" s="16">
        <v>1.990019</v>
      </c>
      <c r="G67" s="14">
        <v>13.82967717</v>
      </c>
      <c r="H67" s="16">
        <v>1.5301286700000001</v>
      </c>
      <c r="I67" s="14">
        <v>36.046078510000001</v>
      </c>
      <c r="J67" s="16">
        <v>1.72081416</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(2439/B70*100)</f>
        <v>83.270740867190156</v>
      </c>
      <c r="D70" s="15">
        <v>490</v>
      </c>
      <c r="E70" s="14">
        <v>33.714462449999999</v>
      </c>
      <c r="F70" s="16">
        <v>2.6804464100000001</v>
      </c>
      <c r="G70" s="14">
        <v>14.83131236</v>
      </c>
      <c r="H70" s="16">
        <v>1.9393234399999999</v>
      </c>
      <c r="I70" s="14">
        <v>51.454225180000002</v>
      </c>
      <c r="J70" s="16">
        <v>3.2217564699999999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25.713241929999999</v>
      </c>
      <c r="F72" s="16">
        <v>1.8543500500000001</v>
      </c>
      <c r="G72" s="14">
        <v>14.29762768</v>
      </c>
      <c r="H72" s="16">
        <v>1.4086276499999999</v>
      </c>
      <c r="I72" s="14">
        <v>59.989130400000001</v>
      </c>
      <c r="J72" s="16">
        <v>2.1395144400000001</v>
      </c>
      <c r="K72" s="14" t="s">
        <v>139</v>
      </c>
      <c r="L72" s="16" t="s">
        <v>139</v>
      </c>
      <c r="M72" s="14">
        <v>0</v>
      </c>
      <c r="N72" s="16">
        <v>0</v>
      </c>
      <c r="O72" s="14">
        <v>0</v>
      </c>
      <c r="P72" s="16">
        <v>0</v>
      </c>
      <c r="Q72" s="14">
        <v>0</v>
      </c>
      <c r="R72" s="16">
        <v>0</v>
      </c>
      <c r="S72" s="14">
        <v>0</v>
      </c>
      <c r="T72" s="16">
        <v>0</v>
      </c>
    </row>
    <row r="73" spans="1:20" x14ac:dyDescent="0.25">
      <c r="A73" s="11" t="s">
        <v>206</v>
      </c>
      <c r="B73" s="13">
        <v>3597</v>
      </c>
      <c r="C73" s="14">
        <f>(2987/B73*100)</f>
        <v>83.041423408395886</v>
      </c>
      <c r="D73" s="15">
        <v>610</v>
      </c>
      <c r="E73" s="14">
        <v>32.088945170000002</v>
      </c>
      <c r="F73" s="16">
        <v>2.1842827900000001</v>
      </c>
      <c r="G73" s="14">
        <v>8.6991940499999991</v>
      </c>
      <c r="H73" s="16">
        <v>1.5518410199999999</v>
      </c>
      <c r="I73" s="14">
        <v>59.211860780000002</v>
      </c>
      <c r="J73" s="16">
        <v>2.4351102400000002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(2031/B75*100)</f>
        <v>84.413965087281795</v>
      </c>
      <c r="D75" s="15">
        <v>375</v>
      </c>
      <c r="E75" s="14">
        <v>44.363965380000003</v>
      </c>
      <c r="F75" s="16">
        <v>2.6362792100000001</v>
      </c>
      <c r="G75" s="14">
        <v>16.859145659999999</v>
      </c>
      <c r="H75" s="16">
        <v>1.7497478200000001</v>
      </c>
      <c r="I75" s="14">
        <v>38.776888970000002</v>
      </c>
      <c r="J75" s="16">
        <v>2.7751466499999999</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(5862/B76*100)</f>
        <v>83.125354509359056</v>
      </c>
      <c r="D76" s="15">
        <v>1190</v>
      </c>
      <c r="E76" s="14">
        <v>45.53457633</v>
      </c>
      <c r="F76" s="16">
        <v>1.6229150400000001</v>
      </c>
      <c r="G76" s="14">
        <v>16.649020839999999</v>
      </c>
      <c r="H76" s="16">
        <v>1.26847004</v>
      </c>
      <c r="I76" s="14">
        <v>37.816402830000001</v>
      </c>
      <c r="J76" s="16">
        <v>1.6541731500000001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(2457/B77*100)</f>
        <v>84.491059147180195</v>
      </c>
      <c r="D77" s="15">
        <v>451</v>
      </c>
      <c r="E77" s="14">
        <v>39.133048389999999</v>
      </c>
      <c r="F77" s="16">
        <v>2.12187167</v>
      </c>
      <c r="G77" s="14">
        <v>16.356747609999999</v>
      </c>
      <c r="H77" s="16">
        <v>1.73662487</v>
      </c>
      <c r="I77" s="14">
        <v>44.510204000000002</v>
      </c>
      <c r="J77" s="16">
        <v>2.34122429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(3451/B81*100)</f>
        <v>82.896949315397549</v>
      </c>
      <c r="D81" s="15">
        <v>712</v>
      </c>
      <c r="E81" s="14">
        <v>28.32382771</v>
      </c>
      <c r="F81" s="16">
        <v>2.14554512</v>
      </c>
      <c r="G81" s="14">
        <v>14.63124395</v>
      </c>
      <c r="H81" s="16">
        <v>1.8063556599999999</v>
      </c>
      <c r="I81" s="14">
        <v>57.044928339999998</v>
      </c>
      <c r="J81" s="16">
        <v>2.41587131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313</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(6141/B7*100)</f>
        <v>83.358219085109269</v>
      </c>
      <c r="D7" s="15">
        <v>1226</v>
      </c>
      <c r="E7" s="14">
        <v>26.104901779999999</v>
      </c>
      <c r="F7" s="16">
        <v>1.5351375599999999</v>
      </c>
      <c r="G7" s="14">
        <v>36.709318410000002</v>
      </c>
      <c r="H7" s="16">
        <v>1.658944</v>
      </c>
      <c r="I7" s="14">
        <v>37.18577981</v>
      </c>
      <c r="J7" s="16">
        <v>1.45390051</v>
      </c>
      <c r="K7" s="14" t="s">
        <v>139</v>
      </c>
      <c r="L7" s="16" t="s">
        <v>139</v>
      </c>
      <c r="M7" s="14">
        <v>0</v>
      </c>
      <c r="N7" s="16">
        <v>0</v>
      </c>
      <c r="O7" s="14">
        <v>0</v>
      </c>
      <c r="P7" s="16">
        <v>0</v>
      </c>
      <c r="Q7" s="14">
        <v>0</v>
      </c>
      <c r="R7" s="16">
        <v>0</v>
      </c>
      <c r="S7" s="14">
        <v>0</v>
      </c>
      <c r="T7" s="16">
        <v>0</v>
      </c>
    </row>
    <row r="8" spans="1:20" x14ac:dyDescent="0.25">
      <c r="A8" s="11" t="s">
        <v>140</v>
      </c>
      <c r="B8" s="13">
        <v>3564</v>
      </c>
      <c r="C8" s="14">
        <f>(2945/B8*100)</f>
        <v>82.631874298540964</v>
      </c>
      <c r="D8" s="15">
        <v>619</v>
      </c>
      <c r="E8" s="14">
        <v>28.714719160000001</v>
      </c>
      <c r="F8" s="16">
        <v>2.1193314700000001</v>
      </c>
      <c r="G8" s="14">
        <v>36.151139039999997</v>
      </c>
      <c r="H8" s="16">
        <v>2.2066793499999999</v>
      </c>
      <c r="I8" s="14">
        <v>35.134141800000002</v>
      </c>
      <c r="J8" s="16">
        <v>2.4379210699999998</v>
      </c>
      <c r="K8" s="14" t="s">
        <v>139</v>
      </c>
      <c r="L8" s="16" t="s">
        <v>139</v>
      </c>
      <c r="M8" s="14">
        <v>0</v>
      </c>
      <c r="N8" s="16">
        <v>0</v>
      </c>
      <c r="O8" s="14">
        <v>0</v>
      </c>
      <c r="P8" s="16">
        <v>0</v>
      </c>
      <c r="Q8" s="14">
        <v>0</v>
      </c>
      <c r="R8" s="16">
        <v>0</v>
      </c>
      <c r="S8" s="14">
        <v>0</v>
      </c>
      <c r="T8" s="16">
        <v>0</v>
      </c>
    </row>
    <row r="9" spans="1:20" x14ac:dyDescent="0.25">
      <c r="A9" s="11" t="s">
        <v>141</v>
      </c>
      <c r="B9" s="13">
        <v>4899</v>
      </c>
      <c r="C9" s="14">
        <f>(4081/B9*100)</f>
        <v>83.302714839763212</v>
      </c>
      <c r="D9" s="15">
        <v>818</v>
      </c>
      <c r="E9" s="14">
        <v>29.819523369999999</v>
      </c>
      <c r="F9" s="16">
        <v>1.6910364899999999</v>
      </c>
      <c r="G9" s="14">
        <v>43.845212779999997</v>
      </c>
      <c r="H9" s="16">
        <v>1.8145434499999999</v>
      </c>
      <c r="I9" s="14">
        <v>26.33526385</v>
      </c>
      <c r="J9" s="16">
        <v>1.6576715500000001</v>
      </c>
      <c r="K9" s="14" t="s">
        <v>139</v>
      </c>
      <c r="L9" s="16" t="s">
        <v>139</v>
      </c>
      <c r="M9" s="14">
        <v>0</v>
      </c>
      <c r="N9" s="16">
        <v>0</v>
      </c>
      <c r="O9" s="14">
        <v>0</v>
      </c>
      <c r="P9" s="16">
        <v>0</v>
      </c>
      <c r="Q9" s="14">
        <v>0</v>
      </c>
      <c r="R9" s="16">
        <v>0</v>
      </c>
      <c r="S9" s="14">
        <v>0</v>
      </c>
      <c r="T9" s="16">
        <v>0</v>
      </c>
    </row>
    <row r="10" spans="1:20" x14ac:dyDescent="0.25">
      <c r="A10" s="11" t="s">
        <v>142</v>
      </c>
      <c r="B10" s="13">
        <v>10036</v>
      </c>
      <c r="C10" s="14">
        <f>(8354/B10*100)</f>
        <v>83.240334794738942</v>
      </c>
      <c r="D10" s="15">
        <v>1682</v>
      </c>
      <c r="E10" s="14">
        <v>27.346060390000002</v>
      </c>
      <c r="F10" s="16">
        <v>1.36264506</v>
      </c>
      <c r="G10" s="14">
        <v>35.527141120000003</v>
      </c>
      <c r="H10" s="16">
        <v>1.5255488100000001</v>
      </c>
      <c r="I10" s="14">
        <v>37.126798489999999</v>
      </c>
      <c r="J10" s="16">
        <v>1.41678331</v>
      </c>
      <c r="K10" s="14" t="s">
        <v>139</v>
      </c>
      <c r="L10" s="16" t="s">
        <v>139</v>
      </c>
      <c r="M10" s="14">
        <v>0</v>
      </c>
      <c r="N10" s="16">
        <v>0</v>
      </c>
      <c r="O10" s="14">
        <v>0</v>
      </c>
      <c r="P10" s="16">
        <v>0</v>
      </c>
      <c r="Q10" s="14">
        <v>0</v>
      </c>
      <c r="R10" s="16">
        <v>0</v>
      </c>
      <c r="S10" s="14">
        <v>0</v>
      </c>
      <c r="T10" s="16">
        <v>0</v>
      </c>
    </row>
    <row r="11" spans="1:20" x14ac:dyDescent="0.25">
      <c r="A11" s="11" t="s">
        <v>143</v>
      </c>
      <c r="B11" s="13">
        <v>3553</v>
      </c>
      <c r="C11" s="14">
        <f>(2952/B11*100)</f>
        <v>83.084717140444695</v>
      </c>
      <c r="D11" s="15">
        <v>601</v>
      </c>
      <c r="E11" s="14">
        <v>34.06681433</v>
      </c>
      <c r="F11" s="16">
        <v>2.12267523</v>
      </c>
      <c r="G11" s="14">
        <v>48.674983449999999</v>
      </c>
      <c r="H11" s="16">
        <v>2.1947455200000001</v>
      </c>
      <c r="I11" s="14">
        <v>17.258202220000001</v>
      </c>
      <c r="J11" s="16">
        <v>1.52791207</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(2862/B12*100)</f>
        <v>82.430875576036868</v>
      </c>
      <c r="D12" s="15">
        <v>610</v>
      </c>
      <c r="E12" s="14">
        <v>33.649511879999999</v>
      </c>
      <c r="F12" s="16">
        <v>2.22962718</v>
      </c>
      <c r="G12" s="14">
        <v>34.545549360000003</v>
      </c>
      <c r="H12" s="16">
        <v>2.2001708899999999</v>
      </c>
      <c r="I12" s="14">
        <v>31.804938759999999</v>
      </c>
      <c r="J12" s="16">
        <v>2.3101937800000001</v>
      </c>
      <c r="K12" s="14" t="s">
        <v>139</v>
      </c>
      <c r="L12" s="16" t="s">
        <v>139</v>
      </c>
      <c r="M12" s="14">
        <v>0</v>
      </c>
      <c r="N12" s="16">
        <v>0</v>
      </c>
      <c r="O12" s="14">
        <v>0</v>
      </c>
      <c r="P12" s="16">
        <v>0</v>
      </c>
      <c r="Q12" s="14">
        <v>0</v>
      </c>
      <c r="R12" s="16">
        <v>0</v>
      </c>
      <c r="S12" s="14">
        <v>0</v>
      </c>
      <c r="T12" s="16">
        <v>0</v>
      </c>
    </row>
    <row r="13" spans="1:20" x14ac:dyDescent="0.25">
      <c r="A13" s="11" t="s">
        <v>145</v>
      </c>
      <c r="B13" s="13">
        <v>3559</v>
      </c>
      <c r="C13" s="14">
        <f>(2994/B13*100)</f>
        <v>84.124754144422582</v>
      </c>
      <c r="D13" s="15">
        <v>565</v>
      </c>
      <c r="E13" s="14">
        <v>29.858707110000001</v>
      </c>
      <c r="F13" s="16">
        <v>2.3416979800000002</v>
      </c>
      <c r="G13" s="14">
        <v>46.831197680000002</v>
      </c>
      <c r="H13" s="16">
        <v>2.3101979799999999</v>
      </c>
      <c r="I13" s="14">
        <v>23.31009521</v>
      </c>
      <c r="J13" s="16">
        <v>2.0731867500000001</v>
      </c>
      <c r="K13" s="14" t="s">
        <v>139</v>
      </c>
      <c r="L13" s="16" t="s">
        <v>139</v>
      </c>
      <c r="M13" s="14">
        <v>0</v>
      </c>
      <c r="N13" s="16">
        <v>0</v>
      </c>
      <c r="O13" s="14">
        <v>0</v>
      </c>
      <c r="P13" s="16">
        <v>0</v>
      </c>
      <c r="Q13" s="14">
        <v>0</v>
      </c>
      <c r="R13" s="16">
        <v>0</v>
      </c>
      <c r="S13" s="14">
        <v>0</v>
      </c>
      <c r="T13" s="16">
        <v>0</v>
      </c>
    </row>
    <row r="14" spans="1:20" x14ac:dyDescent="0.25">
      <c r="A14" s="11" t="s">
        <v>146</v>
      </c>
      <c r="B14" s="13">
        <v>2799</v>
      </c>
      <c r="C14" s="14">
        <f>(2318/B14*100)</f>
        <v>82.815291175419787</v>
      </c>
      <c r="D14" s="15">
        <v>481</v>
      </c>
      <c r="E14" s="14">
        <v>20.702433020000001</v>
      </c>
      <c r="F14" s="16">
        <v>1.7054986299999999</v>
      </c>
      <c r="G14" s="14">
        <v>46.92472119</v>
      </c>
      <c r="H14" s="16">
        <v>2.6042014299999998</v>
      </c>
      <c r="I14" s="14">
        <v>32.3728458</v>
      </c>
      <c r="J14" s="16">
        <v>2.3880081799999999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(2508/B15*100)</f>
        <v>83.07386551838357</v>
      </c>
      <c r="D15" s="15">
        <v>511</v>
      </c>
      <c r="E15" s="14">
        <v>27.77941392</v>
      </c>
      <c r="F15" s="16">
        <v>2.1175544500000001</v>
      </c>
      <c r="G15" s="14">
        <v>46.379818120000003</v>
      </c>
      <c r="H15" s="16">
        <v>2.18698215</v>
      </c>
      <c r="I15" s="14">
        <v>25.840767960000001</v>
      </c>
      <c r="J15" s="16">
        <v>1.70683853</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(2512/B16*100)</f>
        <v>83.817150483817144</v>
      </c>
      <c r="D16" s="15">
        <v>485</v>
      </c>
      <c r="E16" s="14">
        <v>34.439688500000003</v>
      </c>
      <c r="F16" s="16">
        <v>2.1455212499999998</v>
      </c>
      <c r="G16" s="14">
        <v>40.800640010000002</v>
      </c>
      <c r="H16" s="16">
        <v>2.2396522499999998</v>
      </c>
      <c r="I16" s="14">
        <v>24.7596715</v>
      </c>
      <c r="J16" s="16">
        <v>1.9275055800000001</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(2790/B17*100)</f>
        <v>84.366495312972475</v>
      </c>
      <c r="D17" s="15">
        <v>517</v>
      </c>
      <c r="E17" s="14">
        <v>30.395480209999999</v>
      </c>
      <c r="F17" s="16">
        <v>2.3697254299999999</v>
      </c>
      <c r="G17" s="14">
        <v>37.915078569999999</v>
      </c>
      <c r="H17" s="16">
        <v>2.2555585699999998</v>
      </c>
      <c r="I17" s="14">
        <v>31.689441219999999</v>
      </c>
      <c r="J17" s="16">
        <v>2.1117333500000002</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(2345/B18*100)</f>
        <v>82.979476291578209</v>
      </c>
      <c r="D18" s="15">
        <v>481</v>
      </c>
      <c r="E18" s="14">
        <v>44.335427459999998</v>
      </c>
      <c r="F18" s="16">
        <v>2.2602798200000001</v>
      </c>
      <c r="G18" s="14">
        <v>41.551088470000003</v>
      </c>
      <c r="H18" s="16">
        <v>2.1785607800000002</v>
      </c>
      <c r="I18" s="14">
        <v>14.11348407</v>
      </c>
      <c r="J18" s="16">
        <v>1.7723542800000001</v>
      </c>
      <c r="K18" s="14" t="s">
        <v>139</v>
      </c>
      <c r="L18" s="16" t="s">
        <v>139</v>
      </c>
      <c r="M18" s="14">
        <v>0</v>
      </c>
      <c r="N18" s="16">
        <v>0</v>
      </c>
      <c r="O18" s="14">
        <v>0</v>
      </c>
      <c r="P18" s="16">
        <v>0</v>
      </c>
      <c r="Q18" s="14">
        <v>0</v>
      </c>
      <c r="R18" s="16">
        <v>0</v>
      </c>
      <c r="S18" s="14">
        <v>0</v>
      </c>
      <c r="T18" s="16">
        <v>0</v>
      </c>
    </row>
    <row r="19" spans="1:20" x14ac:dyDescent="0.25">
      <c r="A19" s="11" t="s">
        <v>151</v>
      </c>
      <c r="B19" s="13">
        <v>2808</v>
      </c>
      <c r="C19" s="14">
        <f>(2332/B19*100)</f>
        <v>83.04843304843304</v>
      </c>
      <c r="D19" s="15">
        <v>476</v>
      </c>
      <c r="E19" s="14">
        <v>36.414559330000003</v>
      </c>
      <c r="F19" s="16">
        <v>2.19538587</v>
      </c>
      <c r="G19" s="14">
        <v>45.863797419999997</v>
      </c>
      <c r="H19" s="16">
        <v>2.49683864</v>
      </c>
      <c r="I19" s="14">
        <v>17.72164325</v>
      </c>
      <c r="J19" s="16">
        <v>2.20118255</v>
      </c>
      <c r="K19" s="14" t="s">
        <v>139</v>
      </c>
      <c r="L19" s="16" t="s">
        <v>139</v>
      </c>
      <c r="M19" s="14">
        <v>0</v>
      </c>
      <c r="N19" s="16">
        <v>0</v>
      </c>
      <c r="O19" s="14">
        <v>0</v>
      </c>
      <c r="P19" s="16">
        <v>0</v>
      </c>
      <c r="Q19" s="14">
        <v>0</v>
      </c>
      <c r="R19" s="16">
        <v>0</v>
      </c>
      <c r="S19" s="14">
        <v>0</v>
      </c>
      <c r="T19" s="16">
        <v>0</v>
      </c>
    </row>
    <row r="20" spans="1:20" x14ac:dyDescent="0.25">
      <c r="A20" s="11" t="s">
        <v>152</v>
      </c>
      <c r="B20" s="13">
        <v>1630</v>
      </c>
      <c r="C20" s="14">
        <f>(1359/B20*100)</f>
        <v>83.374233128834348</v>
      </c>
      <c r="D20" s="15">
        <v>271</v>
      </c>
      <c r="E20" s="14">
        <v>34.874301369999998</v>
      </c>
      <c r="F20" s="16">
        <v>2.98784501</v>
      </c>
      <c r="G20" s="14">
        <v>42.343114669999999</v>
      </c>
      <c r="H20" s="16">
        <v>3.4917023</v>
      </c>
      <c r="I20" s="14">
        <v>22.78258396</v>
      </c>
      <c r="J20" s="16">
        <v>2.87281093</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(2443/B22*100)</f>
        <v>83.350392357557141</v>
      </c>
      <c r="D22" s="15">
        <v>488</v>
      </c>
      <c r="E22" s="14">
        <v>37.126176309999998</v>
      </c>
      <c r="F22" s="16">
        <v>2.3828920999999998</v>
      </c>
      <c r="G22" s="14">
        <v>39.989280819999998</v>
      </c>
      <c r="H22" s="16">
        <v>2.3718988699999999</v>
      </c>
      <c r="I22" s="14">
        <v>22.884542870000001</v>
      </c>
      <c r="J22" s="16">
        <v>2.1945550200000001</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(4792/B23*100)</f>
        <v>82.749093420825417</v>
      </c>
      <c r="D23" s="15">
        <v>999</v>
      </c>
      <c r="E23" s="14">
        <v>39.904494649999997</v>
      </c>
      <c r="F23" s="16">
        <v>2.0961355500000001</v>
      </c>
      <c r="G23" s="14">
        <v>35.492292839999998</v>
      </c>
      <c r="H23" s="16">
        <v>2.2240518100000002</v>
      </c>
      <c r="I23" s="14">
        <v>24.603212509999999</v>
      </c>
      <c r="J23" s="16">
        <v>1.72744678</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(2774/B24*100)</f>
        <v>83.103654883163571</v>
      </c>
      <c r="D24" s="15">
        <v>564</v>
      </c>
      <c r="E24" s="14">
        <v>14.16994425</v>
      </c>
      <c r="F24" s="16">
        <v>1.7050538</v>
      </c>
      <c r="G24" s="14">
        <v>36.604320809999997</v>
      </c>
      <c r="H24" s="16">
        <v>2.3705512099999999</v>
      </c>
      <c r="I24" s="14">
        <v>49.225734950000003</v>
      </c>
      <c r="J24" s="16">
        <v>2.8466502500000002</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14.69956928</v>
      </c>
      <c r="F25" s="16">
        <v>1.61133617</v>
      </c>
      <c r="G25" s="14">
        <v>42.264399169999997</v>
      </c>
      <c r="H25" s="16">
        <v>2.1120843300000001</v>
      </c>
      <c r="I25" s="14">
        <v>43.036031549999997</v>
      </c>
      <c r="J25" s="16">
        <v>2.1386692300000001</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(2045/B26*100)</f>
        <v>83.469387755102048</v>
      </c>
      <c r="D26" s="15">
        <v>405</v>
      </c>
      <c r="E26" s="14">
        <v>41.057028209999999</v>
      </c>
      <c r="F26" s="16">
        <v>2.7390322199999999</v>
      </c>
      <c r="G26" s="14">
        <v>40.417663580000003</v>
      </c>
      <c r="H26" s="16">
        <v>2.7920254199999999</v>
      </c>
      <c r="I26" s="14">
        <v>18.525308209999999</v>
      </c>
      <c r="J26" s="16">
        <v>1.9857121200000001</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(2182/B27*100)</f>
        <v>83.409785932721718</v>
      </c>
      <c r="D27" s="15">
        <v>434</v>
      </c>
      <c r="E27" s="14">
        <v>31.410699919999999</v>
      </c>
      <c r="F27" s="16">
        <v>1.8644481799999999</v>
      </c>
      <c r="G27" s="14">
        <v>41.233865809999998</v>
      </c>
      <c r="H27" s="16">
        <v>2.2348938700000001</v>
      </c>
      <c r="I27" s="14">
        <v>27.35543427</v>
      </c>
      <c r="J27" s="16">
        <v>1.9092956999999999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(3145/B28*100)</f>
        <v>83.53253652058433</v>
      </c>
      <c r="D28" s="15">
        <v>620</v>
      </c>
      <c r="E28" s="14">
        <v>29.997486200000001</v>
      </c>
      <c r="F28" s="16">
        <v>2.0883363400000001</v>
      </c>
      <c r="G28" s="14">
        <v>58.352184469999997</v>
      </c>
      <c r="H28" s="16">
        <v>2.3148530699999998</v>
      </c>
      <c r="I28" s="14">
        <v>11.650329320000001</v>
      </c>
      <c r="J28" s="16">
        <v>1.4565517800000001</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24.87677072</v>
      </c>
      <c r="F29" s="16">
        <v>2.1459407399999999</v>
      </c>
      <c r="G29" s="14">
        <v>42.392596150000003</v>
      </c>
      <c r="H29" s="16">
        <v>2.4156372400000001</v>
      </c>
      <c r="I29" s="14">
        <v>32.730633130000001</v>
      </c>
      <c r="J29" s="16">
        <v>1.93684916</v>
      </c>
      <c r="K29" s="14" t="s">
        <v>139</v>
      </c>
      <c r="L29" s="16" t="s">
        <v>139</v>
      </c>
      <c r="M29" s="14">
        <v>0</v>
      </c>
      <c r="N29" s="16">
        <v>0</v>
      </c>
      <c r="O29" s="14">
        <v>0</v>
      </c>
      <c r="P29" s="16">
        <v>0</v>
      </c>
      <c r="Q29" s="14">
        <v>0</v>
      </c>
      <c r="R29" s="16">
        <v>0</v>
      </c>
      <c r="S29" s="14">
        <v>0</v>
      </c>
      <c r="T29" s="16">
        <v>0</v>
      </c>
    </row>
    <row r="30" spans="1:20" x14ac:dyDescent="0.25">
      <c r="A30" s="11" t="s">
        <v>163</v>
      </c>
      <c r="B30" s="13">
        <v>2263</v>
      </c>
      <c r="C30" s="14">
        <f>(1886/B30*100)</f>
        <v>83.340698188245682</v>
      </c>
      <c r="D30" s="15">
        <v>377</v>
      </c>
      <c r="E30" s="14">
        <v>25.504714889999999</v>
      </c>
      <c r="F30" s="16">
        <v>2.1289587600000002</v>
      </c>
      <c r="G30" s="14">
        <v>38.029622019999998</v>
      </c>
      <c r="H30" s="16">
        <v>2.2475901500000002</v>
      </c>
      <c r="I30" s="14">
        <v>36.465663079999999</v>
      </c>
      <c r="J30" s="16">
        <v>2.64461601</v>
      </c>
      <c r="K30" s="14" t="s">
        <v>139</v>
      </c>
      <c r="L30" s="16" t="s">
        <v>139</v>
      </c>
      <c r="M30" s="14">
        <v>0</v>
      </c>
      <c r="N30" s="16">
        <v>0</v>
      </c>
      <c r="O30" s="14">
        <v>0</v>
      </c>
      <c r="P30" s="16">
        <v>0</v>
      </c>
      <c r="Q30" s="14">
        <v>0</v>
      </c>
      <c r="R30" s="16">
        <v>0</v>
      </c>
      <c r="S30" s="14">
        <v>0</v>
      </c>
      <c r="T30" s="16">
        <v>0</v>
      </c>
    </row>
    <row r="31" spans="1:20" x14ac:dyDescent="0.25">
      <c r="A31" s="11" t="s">
        <v>164</v>
      </c>
      <c r="B31" s="13">
        <v>2750</v>
      </c>
      <c r="C31" s="14">
        <f>(2295/B31*100)</f>
        <v>83.454545454545453</v>
      </c>
      <c r="D31" s="15">
        <v>455</v>
      </c>
      <c r="E31" s="14">
        <v>29.590421150000001</v>
      </c>
      <c r="F31" s="16">
        <v>2.0436503199999998</v>
      </c>
      <c r="G31" s="14">
        <v>39.69772227</v>
      </c>
      <c r="H31" s="16">
        <v>2.1254040399999998</v>
      </c>
      <c r="I31" s="14">
        <v>30.711856569999998</v>
      </c>
      <c r="J31" s="16">
        <v>1.9425175100000001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(3055/B33*100)</f>
        <v>83.151878062057705</v>
      </c>
      <c r="D33" s="15">
        <v>619</v>
      </c>
      <c r="E33" s="14">
        <v>31.853281719999998</v>
      </c>
      <c r="F33" s="16">
        <v>1.9403107100000001</v>
      </c>
      <c r="G33" s="14">
        <v>43.762962219999999</v>
      </c>
      <c r="H33" s="16">
        <v>2.3454227200000002</v>
      </c>
      <c r="I33" s="14">
        <v>24.38375606</v>
      </c>
      <c r="J33" s="16">
        <v>2.2565147300000001</v>
      </c>
      <c r="K33" s="14" t="s">
        <v>139</v>
      </c>
      <c r="L33" s="16" t="s">
        <v>139</v>
      </c>
      <c r="M33" s="14">
        <v>0</v>
      </c>
      <c r="N33" s="16">
        <v>0</v>
      </c>
      <c r="O33" s="14">
        <v>0</v>
      </c>
      <c r="P33" s="16">
        <v>0</v>
      </c>
      <c r="Q33" s="14">
        <v>0</v>
      </c>
      <c r="R33" s="16">
        <v>0</v>
      </c>
      <c r="S33" s="14">
        <v>0</v>
      </c>
      <c r="T33" s="16">
        <v>0</v>
      </c>
    </row>
    <row r="34" spans="1:20" x14ac:dyDescent="0.25">
      <c r="A34" s="11" t="s">
        <v>167</v>
      </c>
      <c r="B34" s="13">
        <v>3315</v>
      </c>
      <c r="C34" s="14">
        <f>(2767/B34*100)</f>
        <v>83.469079939668177</v>
      </c>
      <c r="D34" s="15">
        <v>548</v>
      </c>
      <c r="E34" s="14">
        <v>41.411259119999997</v>
      </c>
      <c r="F34" s="16">
        <v>2.2208796199999998</v>
      </c>
      <c r="G34" s="14">
        <v>34.424992170000003</v>
      </c>
      <c r="H34" s="16">
        <v>2.3084399000000002</v>
      </c>
      <c r="I34" s="14">
        <v>24.16374871</v>
      </c>
      <c r="J34" s="16">
        <v>1.9470831200000001</v>
      </c>
      <c r="K34" s="14" t="s">
        <v>139</v>
      </c>
      <c r="L34" s="16" t="s">
        <v>139</v>
      </c>
      <c r="M34" s="14">
        <v>0</v>
      </c>
      <c r="N34" s="16">
        <v>0</v>
      </c>
      <c r="O34" s="14">
        <v>0</v>
      </c>
      <c r="P34" s="16">
        <v>0</v>
      </c>
      <c r="Q34" s="14">
        <v>0</v>
      </c>
      <c r="R34" s="16">
        <v>0</v>
      </c>
      <c r="S34" s="14">
        <v>0</v>
      </c>
      <c r="T34" s="16">
        <v>0</v>
      </c>
    </row>
    <row r="35" spans="1:20" x14ac:dyDescent="0.25">
      <c r="A35" s="11" t="s">
        <v>168</v>
      </c>
      <c r="B35" s="13">
        <v>3505</v>
      </c>
      <c r="C35" s="14">
        <f>(2927/B35*100)</f>
        <v>83.509272467902989</v>
      </c>
      <c r="D35" s="15">
        <v>578</v>
      </c>
      <c r="E35" s="14">
        <v>34.207745180000003</v>
      </c>
      <c r="F35" s="16">
        <v>2.1779777899999999</v>
      </c>
      <c r="G35" s="14">
        <v>40.726839679999998</v>
      </c>
      <c r="H35" s="16">
        <v>2.5156590599999999</v>
      </c>
      <c r="I35" s="14">
        <v>25.06541515</v>
      </c>
      <c r="J35" s="16">
        <v>2.4285958600000002</v>
      </c>
      <c r="K35" s="14" t="s">
        <v>139</v>
      </c>
      <c r="L35" s="16" t="s">
        <v>139</v>
      </c>
      <c r="M35" s="14">
        <v>0</v>
      </c>
      <c r="N35" s="16">
        <v>0</v>
      </c>
      <c r="O35" s="14">
        <v>0</v>
      </c>
      <c r="P35" s="16">
        <v>0</v>
      </c>
      <c r="Q35" s="14">
        <v>0</v>
      </c>
      <c r="R35" s="16">
        <v>0</v>
      </c>
      <c r="S35" s="14">
        <v>0</v>
      </c>
      <c r="T35" s="16">
        <v>0</v>
      </c>
    </row>
    <row r="36" spans="1:20" x14ac:dyDescent="0.25">
      <c r="A36" s="11" t="s">
        <v>169</v>
      </c>
      <c r="B36" s="13">
        <v>3332</v>
      </c>
      <c r="C36" s="14">
        <f>(2754/B36*100)</f>
        <v>82.653061224489804</v>
      </c>
      <c r="D36" s="15">
        <v>578</v>
      </c>
      <c r="E36" s="14">
        <v>35.765197890000003</v>
      </c>
      <c r="F36" s="16">
        <v>1.9224905800000001</v>
      </c>
      <c r="G36" s="14">
        <v>36.301074900000003</v>
      </c>
      <c r="H36" s="16">
        <v>2.1224725100000001</v>
      </c>
      <c r="I36" s="14">
        <v>27.933727210000001</v>
      </c>
      <c r="J36" s="16">
        <v>1.95391998</v>
      </c>
      <c r="K36" s="14" t="s">
        <v>139</v>
      </c>
      <c r="L36" s="16" t="s">
        <v>139</v>
      </c>
      <c r="M36" s="14">
        <v>0</v>
      </c>
      <c r="N36" s="16">
        <v>0</v>
      </c>
      <c r="O36" s="14">
        <v>0</v>
      </c>
      <c r="P36" s="16">
        <v>0</v>
      </c>
      <c r="Q36" s="14">
        <v>0</v>
      </c>
      <c r="R36" s="16">
        <v>0</v>
      </c>
      <c r="S36" s="14">
        <v>0</v>
      </c>
      <c r="T36" s="16">
        <v>0</v>
      </c>
    </row>
    <row r="37" spans="1:20" x14ac:dyDescent="0.25">
      <c r="A37" s="11" t="s">
        <v>170</v>
      </c>
      <c r="B37" s="13">
        <v>2727</v>
      </c>
      <c r="C37" s="14">
        <f>(2285/B37*100)</f>
        <v>83.791712504583799</v>
      </c>
      <c r="D37" s="15">
        <v>442</v>
      </c>
      <c r="E37" s="14">
        <v>31.179732269999999</v>
      </c>
      <c r="F37" s="16">
        <v>2.1578255300000002</v>
      </c>
      <c r="G37" s="14">
        <v>39.429998040000001</v>
      </c>
      <c r="H37" s="16">
        <v>2.6021942199999999</v>
      </c>
      <c r="I37" s="14">
        <v>29.390269700000001</v>
      </c>
      <c r="J37" s="16">
        <v>2.2104578300000002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38.803719090000001</v>
      </c>
      <c r="F39" s="16">
        <v>2.1766258600000001</v>
      </c>
      <c r="G39" s="14">
        <v>49.298601150000003</v>
      </c>
      <c r="H39" s="16">
        <v>2.46678292</v>
      </c>
      <c r="I39" s="14">
        <v>11.897679760000001</v>
      </c>
      <c r="J39" s="16">
        <v>1.6627170499999999</v>
      </c>
      <c r="K39" s="14" t="s">
        <v>139</v>
      </c>
      <c r="L39" s="16" t="s">
        <v>139</v>
      </c>
      <c r="M39" s="14">
        <v>0</v>
      </c>
      <c r="N39" s="16">
        <v>0</v>
      </c>
      <c r="O39" s="14">
        <v>0</v>
      </c>
      <c r="P39" s="16">
        <v>0</v>
      </c>
      <c r="Q39" s="14">
        <v>0</v>
      </c>
      <c r="R39" s="16">
        <v>0</v>
      </c>
      <c r="S39" s="14">
        <v>0</v>
      </c>
      <c r="T39" s="16">
        <v>0</v>
      </c>
    </row>
    <row r="40" spans="1:20" x14ac:dyDescent="0.25">
      <c r="A40" s="11" t="s">
        <v>173</v>
      </c>
      <c r="B40" s="13">
        <v>7235</v>
      </c>
      <c r="C40" s="14">
        <f>(6008/B40*100)</f>
        <v>83.040774015203866</v>
      </c>
      <c r="D40" s="15">
        <v>1227</v>
      </c>
      <c r="E40" s="14">
        <v>28.66819199</v>
      </c>
      <c r="F40" s="16">
        <v>2.0855085299999998</v>
      </c>
      <c r="G40" s="14">
        <v>40.342957130000002</v>
      </c>
      <c r="H40" s="16">
        <v>1.9117235400000001</v>
      </c>
      <c r="I40" s="14">
        <v>30.988850880000001</v>
      </c>
      <c r="J40" s="16">
        <v>2.1175271200000001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(2382/B41*100)</f>
        <v>83.344996501049678</v>
      </c>
      <c r="D41" s="15">
        <v>476</v>
      </c>
      <c r="E41" s="14">
        <v>29.400838190000002</v>
      </c>
      <c r="F41" s="16">
        <v>2.0219559899999999</v>
      </c>
      <c r="G41" s="14">
        <v>37.985453030000002</v>
      </c>
      <c r="H41" s="16">
        <v>2.1528799799999998</v>
      </c>
      <c r="I41" s="14">
        <v>32.613708780000003</v>
      </c>
      <c r="J41" s="16">
        <v>2.4048531099999999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83.243956312158545</v>
      </c>
      <c r="D42" s="15">
        <f>IF(COUNT(D7:D41) &gt; 0, AVERAGE(D7:D41), "—")</f>
        <v>612.9375</v>
      </c>
      <c r="E42" s="14">
        <f>IF(COUNT(E7:E41) &gt; 0, AVERAGE(E7:E41), "—")</f>
        <v>31.191525401874991</v>
      </c>
      <c r="F42" s="16">
        <f>IF(COUNT(F7:F41) &gt; 0, SQRT(SUMSQ(F7:F41)/(COUNT(F7:F41)*COUNT(F7:F41)) ), "—")</f>
        <v>0.37263581729424211</v>
      </c>
      <c r="G42" s="14">
        <f>IF(COUNT(G7:G41) &gt; 0, AVERAGE(G7:G41), "—")</f>
        <v>41.275300829687502</v>
      </c>
      <c r="H42" s="16">
        <f>IF(COUNT(H7:H41) &gt; 0, SQRT(SUMSQ(H7:H41)/(COUNT(H7:H41)*COUNT(H7:H41)) ), "—")</f>
        <v>0.4075601532987258</v>
      </c>
      <c r="I42" s="14">
        <f>IF(COUNT(I7:I41) &gt; 0, AVERAGE(I7:I41), "—")</f>
        <v>27.533173769062504</v>
      </c>
      <c r="J42" s="16">
        <f>IF(COUNT(J7:J41) &gt; 0, SQRT(SUMSQ(J7:J41)/(COUNT(J7:J41)*COUNT(J7:J41)) ), "—")</f>
        <v>0.36847871810306387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(9504/B46*100)</f>
        <v>85.869172388868805</v>
      </c>
      <c r="D46" s="15">
        <v>1564</v>
      </c>
      <c r="E46" s="14">
        <v>46.623240189999997</v>
      </c>
      <c r="F46" s="16">
        <v>1.65272285</v>
      </c>
      <c r="G46" s="14">
        <v>42.990105280000002</v>
      </c>
      <c r="H46" s="16">
        <v>1.6314101400000001</v>
      </c>
      <c r="I46" s="14">
        <v>10.386654529999999</v>
      </c>
      <c r="J46" s="16">
        <v>1.0682269</v>
      </c>
      <c r="K46" s="14" t="s">
        <v>139</v>
      </c>
      <c r="L46" s="16" t="s">
        <v>139</v>
      </c>
      <c r="M46" s="14">
        <v>0</v>
      </c>
      <c r="N46" s="16">
        <v>0</v>
      </c>
      <c r="O46" s="14">
        <v>0</v>
      </c>
      <c r="P46" s="16">
        <v>0</v>
      </c>
      <c r="Q46" s="14">
        <v>0</v>
      </c>
      <c r="R46" s="16">
        <v>0</v>
      </c>
      <c r="S46" s="14">
        <v>0</v>
      </c>
      <c r="T46" s="16">
        <v>0</v>
      </c>
    </row>
    <row r="47" spans="1:20" x14ac:dyDescent="0.25">
      <c r="A47" s="11" t="s">
        <v>180</v>
      </c>
      <c r="B47" s="13">
        <v>3105</v>
      </c>
      <c r="C47" s="14">
        <f>(2595/B47*100)</f>
        <v>83.574879227053145</v>
      </c>
      <c r="D47" s="15">
        <v>510</v>
      </c>
      <c r="E47" s="14">
        <v>43.058592040000001</v>
      </c>
      <c r="F47" s="16">
        <v>2.3146714400000001</v>
      </c>
      <c r="G47" s="14">
        <v>40.942028120000003</v>
      </c>
      <c r="H47" s="16">
        <v>2.1289779700000002</v>
      </c>
      <c r="I47" s="14">
        <v>15.99937984</v>
      </c>
      <c r="J47" s="16">
        <v>1.78476674</v>
      </c>
      <c r="K47" s="14" t="s">
        <v>139</v>
      </c>
      <c r="L47" s="16" t="s">
        <v>139</v>
      </c>
      <c r="M47" s="14">
        <v>0</v>
      </c>
      <c r="N47" s="16">
        <v>0</v>
      </c>
      <c r="O47" s="14">
        <v>0</v>
      </c>
      <c r="P47" s="16">
        <v>0</v>
      </c>
      <c r="Q47" s="14">
        <v>0</v>
      </c>
      <c r="R47" s="16">
        <v>0</v>
      </c>
      <c r="S47" s="14">
        <v>0</v>
      </c>
      <c r="T47" s="16">
        <v>0</v>
      </c>
    </row>
    <row r="48" spans="1:20" x14ac:dyDescent="0.25">
      <c r="A48" s="11" t="s">
        <v>181</v>
      </c>
      <c r="B48" s="13">
        <v>5159</v>
      </c>
      <c r="C48" s="14">
        <f>(4286/B48*100)</f>
        <v>83.078115913936813</v>
      </c>
      <c r="D48" s="15">
        <v>873</v>
      </c>
      <c r="E48" s="14">
        <v>24.67242238</v>
      </c>
      <c r="F48" s="16">
        <v>2.0638093199999998</v>
      </c>
      <c r="G48" s="14">
        <v>40.973818450000003</v>
      </c>
      <c r="H48" s="16">
        <v>1.9294077199999999</v>
      </c>
      <c r="I48" s="14">
        <v>34.353759160000003</v>
      </c>
      <c r="J48" s="16">
        <v>2.1865919599999999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(4677/B50*100)</f>
        <v>82.969664715274078</v>
      </c>
      <c r="D50" s="15">
        <v>960</v>
      </c>
      <c r="E50" s="14">
        <v>37.464892970000001</v>
      </c>
      <c r="F50" s="16">
        <v>2.1685156299999999</v>
      </c>
      <c r="G50" s="14">
        <v>48.008027089999999</v>
      </c>
      <c r="H50" s="16">
        <v>1.9846660700000001</v>
      </c>
      <c r="I50" s="14">
        <v>14.52707994</v>
      </c>
      <c r="J50" s="16">
        <v>1.4505725599999999</v>
      </c>
      <c r="K50" s="14" t="s">
        <v>139</v>
      </c>
      <c r="L50" s="16" t="s">
        <v>139</v>
      </c>
      <c r="M50" s="14">
        <v>0</v>
      </c>
      <c r="N50" s="16">
        <v>0</v>
      </c>
      <c r="O50" s="14">
        <v>0</v>
      </c>
      <c r="P50" s="16">
        <v>0</v>
      </c>
      <c r="Q50" s="14">
        <v>0</v>
      </c>
      <c r="R50" s="16">
        <v>0</v>
      </c>
      <c r="S50" s="14">
        <v>0</v>
      </c>
      <c r="T50" s="16">
        <v>0</v>
      </c>
    </row>
    <row r="51" spans="1:20" x14ac:dyDescent="0.25">
      <c r="A51" s="11" t="s">
        <v>184</v>
      </c>
      <c r="B51" s="13">
        <v>3372</v>
      </c>
      <c r="C51" s="14">
        <f>(2852/B51*100)</f>
        <v>84.578884934756829</v>
      </c>
      <c r="D51" s="15">
        <v>520</v>
      </c>
      <c r="E51" s="14">
        <v>36.727335349999997</v>
      </c>
      <c r="F51" s="16">
        <v>2.2938105200000001</v>
      </c>
      <c r="G51" s="14">
        <v>49.21415725</v>
      </c>
      <c r="H51" s="16">
        <v>2.6742231799999998</v>
      </c>
      <c r="I51" s="14">
        <v>14.058507410000001</v>
      </c>
      <c r="J51" s="16">
        <v>1.7243768799999999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(2340/B52*100)</f>
        <v>83.690987124463518</v>
      </c>
      <c r="D52" s="15">
        <v>456</v>
      </c>
      <c r="E52" s="14">
        <v>30.92288954</v>
      </c>
      <c r="F52" s="16">
        <v>2.0681370399999999</v>
      </c>
      <c r="G52" s="14">
        <v>46.662043769999997</v>
      </c>
      <c r="H52" s="16">
        <v>2.2030715299999999</v>
      </c>
      <c r="I52" s="14">
        <v>22.41506669</v>
      </c>
      <c r="J52" s="16">
        <v>1.9115375800000001</v>
      </c>
      <c r="K52" s="14" t="s">
        <v>139</v>
      </c>
      <c r="L52" s="16" t="s">
        <v>139</v>
      </c>
      <c r="M52" s="14">
        <v>0</v>
      </c>
      <c r="N52" s="16">
        <v>0</v>
      </c>
      <c r="O52" s="14">
        <v>0</v>
      </c>
      <c r="P52" s="16">
        <v>0</v>
      </c>
      <c r="Q52" s="14">
        <v>0</v>
      </c>
      <c r="R52" s="16">
        <v>0</v>
      </c>
      <c r="S52" s="14">
        <v>0</v>
      </c>
      <c r="T52" s="16">
        <v>0</v>
      </c>
    </row>
    <row r="53" spans="1:20" x14ac:dyDescent="0.25">
      <c r="A53" s="11" t="s">
        <v>186</v>
      </c>
      <c r="B53" s="13">
        <v>2811</v>
      </c>
      <c r="C53" s="14">
        <f>(2335/B53*100)</f>
        <v>83.066524368552123</v>
      </c>
      <c r="D53" s="15">
        <v>476</v>
      </c>
      <c r="E53" s="14">
        <v>40.945661430000001</v>
      </c>
      <c r="F53" s="16">
        <v>2.4015586299999998</v>
      </c>
      <c r="G53" s="14">
        <v>40.814790180000003</v>
      </c>
      <c r="H53" s="16">
        <v>2.3977478799999998</v>
      </c>
      <c r="I53" s="14">
        <v>18.23954839</v>
      </c>
      <c r="J53" s="16">
        <v>1.8747691399999999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(2240/B56*100)</f>
        <v>83.457526080476896</v>
      </c>
      <c r="D56" s="15">
        <v>444</v>
      </c>
      <c r="E56" s="14">
        <v>16.921715160000002</v>
      </c>
      <c r="F56" s="16">
        <v>2.1042390499999999</v>
      </c>
      <c r="G56" s="14">
        <v>37.09520011</v>
      </c>
      <c r="H56" s="16">
        <v>2.2605544000000002</v>
      </c>
      <c r="I56" s="14">
        <v>45.983084730000002</v>
      </c>
      <c r="J56" s="16">
        <v>2.8378075699999998</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(2779/B61*100)</f>
        <v>83.604091456077015</v>
      </c>
      <c r="D61" s="15">
        <v>545</v>
      </c>
      <c r="E61" s="14">
        <v>34.801898379999997</v>
      </c>
      <c r="F61" s="16">
        <v>2.4315913600000001</v>
      </c>
      <c r="G61" s="14">
        <v>44.0811396</v>
      </c>
      <c r="H61" s="16">
        <v>2.45464788</v>
      </c>
      <c r="I61" s="14">
        <v>21.116962019999999</v>
      </c>
      <c r="J61" s="16">
        <v>2.05405302</v>
      </c>
      <c r="K61" s="14" t="s">
        <v>139</v>
      </c>
      <c r="L61" s="16" t="s">
        <v>139</v>
      </c>
      <c r="M61" s="14">
        <v>0</v>
      </c>
      <c r="N61" s="16">
        <v>0</v>
      </c>
      <c r="O61" s="14">
        <v>0</v>
      </c>
      <c r="P61" s="16">
        <v>0</v>
      </c>
      <c r="Q61" s="14">
        <v>0</v>
      </c>
      <c r="R61" s="16">
        <v>0</v>
      </c>
      <c r="S61" s="14">
        <v>0</v>
      </c>
      <c r="T61" s="16">
        <v>0</v>
      </c>
    </row>
    <row r="62" spans="1:20" x14ac:dyDescent="0.25">
      <c r="A62" s="11" t="s">
        <v>195</v>
      </c>
      <c r="B62" s="13">
        <v>2246</v>
      </c>
      <c r="C62" s="14">
        <f>(1846/B62*100)</f>
        <v>82.190560997328589</v>
      </c>
      <c r="D62" s="15">
        <v>400</v>
      </c>
      <c r="E62" s="14">
        <v>20.268271370000001</v>
      </c>
      <c r="F62" s="16">
        <v>1.95314392</v>
      </c>
      <c r="G62" s="14">
        <v>31.825283240000001</v>
      </c>
      <c r="H62" s="16">
        <v>2.50988261</v>
      </c>
      <c r="I62" s="14">
        <v>47.906445390000002</v>
      </c>
      <c r="J62" s="16">
        <v>2.7685435799999998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(2437/B66*100)</f>
        <v>84.208707671043541</v>
      </c>
      <c r="D66" s="15">
        <v>457</v>
      </c>
      <c r="E66" s="14">
        <v>38.497424639999998</v>
      </c>
      <c r="F66" s="16">
        <v>2.29719885</v>
      </c>
      <c r="G66" s="14">
        <v>47.518447070000001</v>
      </c>
      <c r="H66" s="16">
        <v>2.38579892</v>
      </c>
      <c r="I66" s="14">
        <v>13.9841283</v>
      </c>
      <c r="J66" s="16">
        <v>1.6627924999999999</v>
      </c>
      <c r="K66" s="14" t="s">
        <v>139</v>
      </c>
      <c r="L66" s="16" t="s">
        <v>139</v>
      </c>
      <c r="M66" s="14">
        <v>0</v>
      </c>
      <c r="N66" s="16">
        <v>0</v>
      </c>
      <c r="O66" s="14">
        <v>0</v>
      </c>
      <c r="P66" s="16">
        <v>0</v>
      </c>
      <c r="Q66" s="14">
        <v>0</v>
      </c>
      <c r="R66" s="16">
        <v>0</v>
      </c>
      <c r="S66" s="14">
        <v>0</v>
      </c>
      <c r="T66" s="16">
        <v>0</v>
      </c>
    </row>
    <row r="67" spans="1:20" x14ac:dyDescent="0.25">
      <c r="A67" s="11" t="s">
        <v>200</v>
      </c>
      <c r="B67" s="13">
        <v>3511</v>
      </c>
      <c r="C67" s="14">
        <f>(2954/B67*100)</f>
        <v>84.135573910566791</v>
      </c>
      <c r="D67" s="15">
        <v>557</v>
      </c>
      <c r="E67" s="14">
        <v>36.505656430000002</v>
      </c>
      <c r="F67" s="16">
        <v>2.01154031</v>
      </c>
      <c r="G67" s="14">
        <v>49.407760230000001</v>
      </c>
      <c r="H67" s="16">
        <v>2.2694496100000001</v>
      </c>
      <c r="I67" s="14">
        <v>14.086583340000001</v>
      </c>
      <c r="J67" s="16">
        <v>1.3721891399999999</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(2439/B70*100)</f>
        <v>83.270740867190156</v>
      </c>
      <c r="D70" s="15">
        <v>490</v>
      </c>
      <c r="E70" s="14">
        <v>41.013628930000003</v>
      </c>
      <c r="F70" s="16">
        <v>2.2320357899999999</v>
      </c>
      <c r="G70" s="14">
        <v>43.99111018</v>
      </c>
      <c r="H70" s="16">
        <v>2.03816168</v>
      </c>
      <c r="I70" s="14">
        <v>14.995260890000001</v>
      </c>
      <c r="J70" s="16">
        <v>1.45206185</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15.368547250000001</v>
      </c>
      <c r="F72" s="16">
        <v>1.4281329300000001</v>
      </c>
      <c r="G72" s="14">
        <v>44.845107769999998</v>
      </c>
      <c r="H72" s="16">
        <v>1.95304301</v>
      </c>
      <c r="I72" s="14">
        <v>39.786344980000003</v>
      </c>
      <c r="J72" s="16">
        <v>2.0633020599999998</v>
      </c>
      <c r="K72" s="14" t="s">
        <v>139</v>
      </c>
      <c r="L72" s="16" t="s">
        <v>139</v>
      </c>
      <c r="M72" s="14">
        <v>0</v>
      </c>
      <c r="N72" s="16">
        <v>0</v>
      </c>
      <c r="O72" s="14">
        <v>0</v>
      </c>
      <c r="P72" s="16">
        <v>0</v>
      </c>
      <c r="Q72" s="14">
        <v>0</v>
      </c>
      <c r="R72" s="16">
        <v>0</v>
      </c>
      <c r="S72" s="14">
        <v>0</v>
      </c>
      <c r="T72" s="16">
        <v>0</v>
      </c>
    </row>
    <row r="73" spans="1:20" x14ac:dyDescent="0.25">
      <c r="A73" s="11" t="s">
        <v>206</v>
      </c>
      <c r="B73" s="13">
        <v>3597</v>
      </c>
      <c r="C73" s="14">
        <f>(2987/B73*100)</f>
        <v>83.041423408395886</v>
      </c>
      <c r="D73" s="15">
        <v>610</v>
      </c>
      <c r="E73" s="14">
        <v>33.46229744</v>
      </c>
      <c r="F73" s="16">
        <v>2.51261811</v>
      </c>
      <c r="G73" s="14">
        <v>46.012405749999999</v>
      </c>
      <c r="H73" s="16">
        <v>2.8129314000000001</v>
      </c>
      <c r="I73" s="14">
        <v>20.52529681</v>
      </c>
      <c r="J73" s="16">
        <v>2.1721447700000001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(2031/B75*100)</f>
        <v>84.413965087281795</v>
      </c>
      <c r="D75" s="15">
        <v>375</v>
      </c>
      <c r="E75" s="14">
        <v>46.02067598</v>
      </c>
      <c r="F75" s="16">
        <v>2.8054973699999999</v>
      </c>
      <c r="G75" s="14">
        <v>46.267427220000002</v>
      </c>
      <c r="H75" s="16">
        <v>2.83246325</v>
      </c>
      <c r="I75" s="14">
        <v>7.7118967999999999</v>
      </c>
      <c r="J75" s="16">
        <v>1.4522060400000001</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(5862/B76*100)</f>
        <v>83.125354509359056</v>
      </c>
      <c r="D76" s="15">
        <v>1190</v>
      </c>
      <c r="E76" s="14">
        <v>40.53784564</v>
      </c>
      <c r="F76" s="16">
        <v>1.5086231800000001</v>
      </c>
      <c r="G76" s="14">
        <v>42.754786000000003</v>
      </c>
      <c r="H76" s="16">
        <v>1.4671699</v>
      </c>
      <c r="I76" s="14">
        <v>16.70736836</v>
      </c>
      <c r="J76" s="16">
        <v>1.3272640200000001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(2457/B77*100)</f>
        <v>84.491059147180195</v>
      </c>
      <c r="D77" s="15">
        <v>451</v>
      </c>
      <c r="E77" s="14">
        <v>42.909463289999998</v>
      </c>
      <c r="F77" s="16">
        <v>2.7110420300000002</v>
      </c>
      <c r="G77" s="14">
        <v>45.538859209999998</v>
      </c>
      <c r="H77" s="16">
        <v>2.5327115</v>
      </c>
      <c r="I77" s="14">
        <v>11.5516775</v>
      </c>
      <c r="J77" s="16">
        <v>1.7712337899999999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(3451/B81*100)</f>
        <v>82.896949315397549</v>
      </c>
      <c r="D81" s="15">
        <v>712</v>
      </c>
      <c r="E81" s="14">
        <v>40.620052049999998</v>
      </c>
      <c r="F81" s="16">
        <v>2.38131307</v>
      </c>
      <c r="G81" s="14">
        <v>36.566123939999997</v>
      </c>
      <c r="H81" s="16">
        <v>2.01428992</v>
      </c>
      <c r="I81" s="14">
        <v>22.813824010000001</v>
      </c>
      <c r="J81" s="16">
        <v>1.8799022999999999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314</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230</v>
      </c>
      <c r="F4" s="24"/>
      <c r="G4" s="23" t="s">
        <v>231</v>
      </c>
      <c r="H4" s="24"/>
      <c r="I4" s="23" t="s">
        <v>233</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(6141/B7*100)</f>
        <v>83.358219085109269</v>
      </c>
      <c r="D7" s="15">
        <v>1226</v>
      </c>
      <c r="E7" s="14">
        <v>84.234035410000004</v>
      </c>
      <c r="F7" s="16">
        <v>1.15931451</v>
      </c>
      <c r="G7" s="14">
        <v>5.8825515700000004</v>
      </c>
      <c r="H7" s="16">
        <v>0.80636483000000003</v>
      </c>
      <c r="I7" s="14">
        <v>9.8834130099999999</v>
      </c>
      <c r="J7" s="16">
        <v>0.93784803000000005</v>
      </c>
      <c r="K7" s="14" t="s">
        <v>139</v>
      </c>
      <c r="L7" s="16" t="s">
        <v>139</v>
      </c>
      <c r="M7" s="14">
        <v>0</v>
      </c>
      <c r="N7" s="16">
        <v>0</v>
      </c>
      <c r="O7" s="14">
        <v>0</v>
      </c>
      <c r="P7" s="16">
        <v>0</v>
      </c>
      <c r="Q7" s="14">
        <v>0</v>
      </c>
      <c r="R7" s="16">
        <v>0</v>
      </c>
      <c r="S7" s="14">
        <v>0</v>
      </c>
      <c r="T7" s="16">
        <v>0</v>
      </c>
    </row>
    <row r="8" spans="1:20" x14ac:dyDescent="0.25">
      <c r="A8" s="11" t="s">
        <v>140</v>
      </c>
      <c r="B8" s="13">
        <v>3564</v>
      </c>
      <c r="C8" s="14">
        <f>(2945/B8*100)</f>
        <v>82.631874298540964</v>
      </c>
      <c r="D8" s="15">
        <v>619</v>
      </c>
      <c r="E8" s="14">
        <v>86.453621429999998</v>
      </c>
      <c r="F8" s="16">
        <v>1.5040698699999999</v>
      </c>
      <c r="G8" s="14">
        <v>6.0657333500000004</v>
      </c>
      <c r="H8" s="16">
        <v>0.93063386999999997</v>
      </c>
      <c r="I8" s="14">
        <v>7.4806452200000004</v>
      </c>
      <c r="J8" s="16">
        <v>1.29601196</v>
      </c>
      <c r="K8" s="14" t="s">
        <v>139</v>
      </c>
      <c r="L8" s="16" t="s">
        <v>139</v>
      </c>
      <c r="M8" s="14">
        <v>0</v>
      </c>
      <c r="N8" s="16">
        <v>0</v>
      </c>
      <c r="O8" s="14">
        <v>0</v>
      </c>
      <c r="P8" s="16">
        <v>0</v>
      </c>
      <c r="Q8" s="14">
        <v>0</v>
      </c>
      <c r="R8" s="16">
        <v>0</v>
      </c>
      <c r="S8" s="14">
        <v>0</v>
      </c>
      <c r="T8" s="16">
        <v>0</v>
      </c>
    </row>
    <row r="9" spans="1:20" x14ac:dyDescent="0.25">
      <c r="A9" s="11" t="s">
        <v>141</v>
      </c>
      <c r="B9" s="13">
        <v>4899</v>
      </c>
      <c r="C9" s="14">
        <f>(4081/B9*100)</f>
        <v>83.302714839763212</v>
      </c>
      <c r="D9" s="15">
        <v>818</v>
      </c>
      <c r="E9" s="14">
        <v>91.214713079999996</v>
      </c>
      <c r="F9" s="16">
        <v>0.82745256</v>
      </c>
      <c r="G9" s="14">
        <v>3.4662665600000002</v>
      </c>
      <c r="H9" s="16">
        <v>0.55237329999999996</v>
      </c>
      <c r="I9" s="14">
        <v>5.3190203599999997</v>
      </c>
      <c r="J9" s="16">
        <v>0.62130032999999996</v>
      </c>
      <c r="K9" s="14" t="s">
        <v>139</v>
      </c>
      <c r="L9" s="16" t="s">
        <v>139</v>
      </c>
      <c r="M9" s="14">
        <v>0</v>
      </c>
      <c r="N9" s="16">
        <v>0</v>
      </c>
      <c r="O9" s="14">
        <v>0</v>
      </c>
      <c r="P9" s="16">
        <v>0</v>
      </c>
      <c r="Q9" s="14">
        <v>0</v>
      </c>
      <c r="R9" s="16">
        <v>0</v>
      </c>
      <c r="S9" s="14">
        <v>0</v>
      </c>
      <c r="T9" s="16">
        <v>0</v>
      </c>
    </row>
    <row r="10" spans="1:20" x14ac:dyDescent="0.25">
      <c r="A10" s="11" t="s">
        <v>142</v>
      </c>
      <c r="B10" s="13">
        <v>10036</v>
      </c>
      <c r="C10" s="14">
        <f>(8354/B10*100)</f>
        <v>83.240334794738942</v>
      </c>
      <c r="D10" s="15">
        <v>1682</v>
      </c>
      <c r="E10" s="14">
        <v>86.772241829999999</v>
      </c>
      <c r="F10" s="16">
        <v>1.1357523899999999</v>
      </c>
      <c r="G10" s="14">
        <v>5.9106404499999998</v>
      </c>
      <c r="H10" s="16">
        <v>0.84543959000000002</v>
      </c>
      <c r="I10" s="14">
        <v>7.3171177199999997</v>
      </c>
      <c r="J10" s="16">
        <v>0.87448049000000005</v>
      </c>
      <c r="K10" s="14" t="s">
        <v>139</v>
      </c>
      <c r="L10" s="16" t="s">
        <v>139</v>
      </c>
      <c r="M10" s="14">
        <v>0</v>
      </c>
      <c r="N10" s="16">
        <v>0</v>
      </c>
      <c r="O10" s="14">
        <v>0</v>
      </c>
      <c r="P10" s="16">
        <v>0</v>
      </c>
      <c r="Q10" s="14">
        <v>0</v>
      </c>
      <c r="R10" s="16">
        <v>0</v>
      </c>
      <c r="S10" s="14">
        <v>0</v>
      </c>
      <c r="T10" s="16">
        <v>0</v>
      </c>
    </row>
    <row r="11" spans="1:20" x14ac:dyDescent="0.25">
      <c r="A11" s="11" t="s">
        <v>143</v>
      </c>
      <c r="B11" s="13">
        <v>3553</v>
      </c>
      <c r="C11" s="14">
        <f>(2952/B11*100)</f>
        <v>83.084717140444695</v>
      </c>
      <c r="D11" s="15">
        <v>601</v>
      </c>
      <c r="E11" s="14">
        <v>91.162218179999996</v>
      </c>
      <c r="F11" s="16">
        <v>1.19563799</v>
      </c>
      <c r="G11" s="14">
        <v>4.1708390499999997</v>
      </c>
      <c r="H11" s="16">
        <v>0.94184895999999996</v>
      </c>
      <c r="I11" s="14">
        <v>4.6669427700000004</v>
      </c>
      <c r="J11" s="16">
        <v>0.81550277999999998</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(2862/B12*100)</f>
        <v>82.430875576036868</v>
      </c>
      <c r="D12" s="15">
        <v>610</v>
      </c>
      <c r="E12" s="14">
        <v>88.221641239999997</v>
      </c>
      <c r="F12" s="16">
        <v>1.61404071</v>
      </c>
      <c r="G12" s="14">
        <v>3.8032593499999998</v>
      </c>
      <c r="H12" s="16">
        <v>0.81845957000000003</v>
      </c>
      <c r="I12" s="14">
        <v>7.9750994100000003</v>
      </c>
      <c r="J12" s="16">
        <v>1.3177506299999999</v>
      </c>
      <c r="K12" s="14" t="s">
        <v>139</v>
      </c>
      <c r="L12" s="16" t="s">
        <v>139</v>
      </c>
      <c r="M12" s="14">
        <v>0</v>
      </c>
      <c r="N12" s="16">
        <v>0</v>
      </c>
      <c r="O12" s="14">
        <v>0</v>
      </c>
      <c r="P12" s="16">
        <v>0</v>
      </c>
      <c r="Q12" s="14">
        <v>0</v>
      </c>
      <c r="R12" s="16">
        <v>0</v>
      </c>
      <c r="S12" s="14">
        <v>0</v>
      </c>
      <c r="T12" s="16">
        <v>0</v>
      </c>
    </row>
    <row r="13" spans="1:20" x14ac:dyDescent="0.25">
      <c r="A13" s="11" t="s">
        <v>145</v>
      </c>
      <c r="B13" s="13">
        <v>3559</v>
      </c>
      <c r="C13" s="14">
        <f>(2994/B13*100)</f>
        <v>84.124754144422582</v>
      </c>
      <c r="D13" s="15">
        <v>565</v>
      </c>
      <c r="E13" s="14">
        <v>88.732891460000005</v>
      </c>
      <c r="F13" s="16">
        <v>1.7849960300000001</v>
      </c>
      <c r="G13" s="14">
        <v>2.3653889000000001</v>
      </c>
      <c r="H13" s="16">
        <v>0.70826436000000004</v>
      </c>
      <c r="I13" s="14">
        <v>8.9017196399999996</v>
      </c>
      <c r="J13" s="16">
        <v>1.5594440300000001</v>
      </c>
      <c r="K13" s="14" t="s">
        <v>139</v>
      </c>
      <c r="L13" s="16" t="s">
        <v>139</v>
      </c>
      <c r="M13" s="14">
        <v>0</v>
      </c>
      <c r="N13" s="16">
        <v>0</v>
      </c>
      <c r="O13" s="14">
        <v>0</v>
      </c>
      <c r="P13" s="16">
        <v>0</v>
      </c>
      <c r="Q13" s="14">
        <v>0</v>
      </c>
      <c r="R13" s="16">
        <v>0</v>
      </c>
      <c r="S13" s="14">
        <v>0</v>
      </c>
      <c r="T13" s="16">
        <v>0</v>
      </c>
    </row>
    <row r="14" spans="1:20" x14ac:dyDescent="0.25">
      <c r="A14" s="11" t="s">
        <v>146</v>
      </c>
      <c r="B14" s="13">
        <v>2799</v>
      </c>
      <c r="C14" s="14">
        <f>(2318/B14*100)</f>
        <v>82.815291175419787</v>
      </c>
      <c r="D14" s="15">
        <v>481</v>
      </c>
      <c r="E14" s="14">
        <v>89.625643999999994</v>
      </c>
      <c r="F14" s="16">
        <v>1.6197056299999999</v>
      </c>
      <c r="G14" s="14">
        <v>3.96341543</v>
      </c>
      <c r="H14" s="16">
        <v>0.98231217999999998</v>
      </c>
      <c r="I14" s="14">
        <v>6.4109405700000002</v>
      </c>
      <c r="J14" s="16">
        <v>1.21912109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(2508/B15*100)</f>
        <v>83.07386551838357</v>
      </c>
      <c r="D15" s="15">
        <v>511</v>
      </c>
      <c r="E15" s="14">
        <v>90.735529029999995</v>
      </c>
      <c r="F15" s="16">
        <v>1.13474717</v>
      </c>
      <c r="G15" s="14">
        <v>1.0262500800000001</v>
      </c>
      <c r="H15" s="16">
        <v>0.45342618000000001</v>
      </c>
      <c r="I15" s="14">
        <v>8.2382208899999991</v>
      </c>
      <c r="J15" s="16">
        <v>1.03792964</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(2512/B16*100)</f>
        <v>83.817150483817144</v>
      </c>
      <c r="D16" s="15">
        <v>485</v>
      </c>
      <c r="E16" s="14">
        <v>87.510070920000004</v>
      </c>
      <c r="F16" s="16">
        <v>1.5415055799999999</v>
      </c>
      <c r="G16" s="14">
        <v>5.6732456500000001</v>
      </c>
      <c r="H16" s="16">
        <v>1.0512857799999999</v>
      </c>
      <c r="I16" s="14">
        <v>6.8166834300000003</v>
      </c>
      <c r="J16" s="16">
        <v>1.0280992799999999</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(2790/B17*100)</f>
        <v>84.366495312972475</v>
      </c>
      <c r="D17" s="15">
        <v>517</v>
      </c>
      <c r="E17" s="14">
        <v>87.075161460000004</v>
      </c>
      <c r="F17" s="16">
        <v>1.5175736</v>
      </c>
      <c r="G17" s="14">
        <v>3.8063908500000001</v>
      </c>
      <c r="H17" s="16">
        <v>1.03765945</v>
      </c>
      <c r="I17" s="14">
        <v>9.11844769</v>
      </c>
      <c r="J17" s="16">
        <v>1.13319953</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(2345/B18*100)</f>
        <v>82.979476291578209</v>
      </c>
      <c r="D18" s="15">
        <v>481</v>
      </c>
      <c r="E18" s="14">
        <v>90.157644149999996</v>
      </c>
      <c r="F18" s="16">
        <v>1.44235829</v>
      </c>
      <c r="G18" s="14">
        <v>4.4730175599999997</v>
      </c>
      <c r="H18" s="16">
        <v>0.96691868000000003</v>
      </c>
      <c r="I18" s="14">
        <v>5.36933829</v>
      </c>
      <c r="J18" s="16">
        <v>1.2948047600000001</v>
      </c>
      <c r="K18" s="14" t="s">
        <v>139</v>
      </c>
      <c r="L18" s="16" t="s">
        <v>139</v>
      </c>
      <c r="M18" s="14">
        <v>0</v>
      </c>
      <c r="N18" s="16">
        <v>0</v>
      </c>
      <c r="O18" s="14">
        <v>0</v>
      </c>
      <c r="P18" s="16">
        <v>0</v>
      </c>
      <c r="Q18" s="14">
        <v>0</v>
      </c>
      <c r="R18" s="16">
        <v>0</v>
      </c>
      <c r="S18" s="14">
        <v>0</v>
      </c>
      <c r="T18" s="16">
        <v>0</v>
      </c>
    </row>
    <row r="19" spans="1:20" x14ac:dyDescent="0.25">
      <c r="A19" s="11" t="s">
        <v>151</v>
      </c>
      <c r="B19" s="13">
        <v>2808</v>
      </c>
      <c r="C19" s="14">
        <f>(2332/B19*100)</f>
        <v>83.04843304843304</v>
      </c>
      <c r="D19" s="15">
        <v>476</v>
      </c>
      <c r="E19" s="14">
        <v>88.41153405</v>
      </c>
      <c r="F19" s="16">
        <v>1.8605863300000001</v>
      </c>
      <c r="G19" s="14">
        <v>7.7110254300000003</v>
      </c>
      <c r="H19" s="16">
        <v>1.6951545699999999</v>
      </c>
      <c r="I19" s="14">
        <v>3.8774405199999999</v>
      </c>
      <c r="J19" s="16">
        <v>0.92831885999999997</v>
      </c>
      <c r="K19" s="14" t="s">
        <v>139</v>
      </c>
      <c r="L19" s="16" t="s">
        <v>139</v>
      </c>
      <c r="M19" s="14">
        <v>0</v>
      </c>
      <c r="N19" s="16">
        <v>0</v>
      </c>
      <c r="O19" s="14">
        <v>0</v>
      </c>
      <c r="P19" s="16">
        <v>0</v>
      </c>
      <c r="Q19" s="14">
        <v>0</v>
      </c>
      <c r="R19" s="16">
        <v>0</v>
      </c>
      <c r="S19" s="14">
        <v>0</v>
      </c>
      <c r="T19" s="16">
        <v>0</v>
      </c>
    </row>
    <row r="20" spans="1:20" x14ac:dyDescent="0.25">
      <c r="A20" s="11" t="s">
        <v>152</v>
      </c>
      <c r="B20" s="13">
        <v>1630</v>
      </c>
      <c r="C20" s="14">
        <f>(1359/B20*100)</f>
        <v>83.374233128834348</v>
      </c>
      <c r="D20" s="15">
        <v>271</v>
      </c>
      <c r="E20" s="14">
        <v>89.546645810000001</v>
      </c>
      <c r="F20" s="16">
        <v>1.72803474</v>
      </c>
      <c r="G20" s="14">
        <v>5.0929475200000001</v>
      </c>
      <c r="H20" s="16">
        <v>1.32749881</v>
      </c>
      <c r="I20" s="14">
        <v>5.3604066799999996</v>
      </c>
      <c r="J20" s="16">
        <v>1.19240312</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(2443/B22*100)</f>
        <v>83.350392357557141</v>
      </c>
      <c r="D22" s="15">
        <v>488</v>
      </c>
      <c r="E22" s="14">
        <v>88.386075140000003</v>
      </c>
      <c r="F22" s="16">
        <v>1.4816969600000001</v>
      </c>
      <c r="G22" s="14">
        <v>5.71407986</v>
      </c>
      <c r="H22" s="16">
        <v>0.91268939000000004</v>
      </c>
      <c r="I22" s="14">
        <v>5.899845</v>
      </c>
      <c r="J22" s="16">
        <v>1.07534167</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(4792/B23*100)</f>
        <v>82.749093420825417</v>
      </c>
      <c r="D23" s="15">
        <v>999</v>
      </c>
      <c r="E23" s="14">
        <v>85.215199909999995</v>
      </c>
      <c r="F23" s="16">
        <v>1.65393484</v>
      </c>
      <c r="G23" s="14">
        <v>7.5568861299999996</v>
      </c>
      <c r="H23" s="16">
        <v>1.06980125</v>
      </c>
      <c r="I23" s="14">
        <v>7.2279139600000004</v>
      </c>
      <c r="J23" s="16">
        <v>1.1981012799999999</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(2774/B24*100)</f>
        <v>83.103654883163571</v>
      </c>
      <c r="D24" s="15">
        <v>564</v>
      </c>
      <c r="E24" s="14">
        <v>87.330871490000007</v>
      </c>
      <c r="F24" s="16">
        <v>1.2394177099999999</v>
      </c>
      <c r="G24" s="14">
        <v>2.1072699799999999</v>
      </c>
      <c r="H24" s="16">
        <v>0.67181522000000005</v>
      </c>
      <c r="I24" s="14">
        <v>10.56185853</v>
      </c>
      <c r="J24" s="16">
        <v>1.2149929900000001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83.996616369999998</v>
      </c>
      <c r="F25" s="16">
        <v>1.55405069</v>
      </c>
      <c r="G25" s="14">
        <v>6.7103025399999998</v>
      </c>
      <c r="H25" s="16">
        <v>1.1302611899999999</v>
      </c>
      <c r="I25" s="14">
        <v>9.2930810899999994</v>
      </c>
      <c r="J25" s="16">
        <v>1.40677103</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(2045/B26*100)</f>
        <v>83.469387755102048</v>
      </c>
      <c r="D26" s="15">
        <v>405</v>
      </c>
      <c r="E26" s="14">
        <v>89.643982910000005</v>
      </c>
      <c r="F26" s="16">
        <v>1.6842385900000001</v>
      </c>
      <c r="G26" s="14">
        <v>3.64817635</v>
      </c>
      <c r="H26" s="16">
        <v>1.0666424699999999</v>
      </c>
      <c r="I26" s="14">
        <v>6.70784073</v>
      </c>
      <c r="J26" s="16">
        <v>1.3254654699999999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(2182/B27*100)</f>
        <v>83.409785932721718</v>
      </c>
      <c r="D27" s="15">
        <v>434</v>
      </c>
      <c r="E27" s="14">
        <v>88.2765196</v>
      </c>
      <c r="F27" s="16">
        <v>1.66074009</v>
      </c>
      <c r="G27" s="14">
        <v>5.9829643600000004</v>
      </c>
      <c r="H27" s="16">
        <v>1.1993225300000001</v>
      </c>
      <c r="I27" s="14">
        <v>5.7405160300000002</v>
      </c>
      <c r="J27" s="16">
        <v>1.25345671</v>
      </c>
      <c r="K27" s="14" t="s">
        <v>139</v>
      </c>
      <c r="L27" s="16" t="s">
        <v>139</v>
      </c>
      <c r="M27" s="14">
        <v>0</v>
      </c>
      <c r="N27" s="16">
        <v>0</v>
      </c>
      <c r="O27" s="14">
        <v>0</v>
      </c>
      <c r="P27" s="16">
        <v>0</v>
      </c>
      <c r="Q27" s="14">
        <v>0</v>
      </c>
      <c r="R27" s="16">
        <v>0</v>
      </c>
      <c r="S27" s="14">
        <v>0</v>
      </c>
      <c r="T27" s="16">
        <v>0</v>
      </c>
    </row>
    <row r="28" spans="1:20" x14ac:dyDescent="0.25">
      <c r="A28" s="11" t="s">
        <v>161</v>
      </c>
      <c r="B28" s="13">
        <v>3765</v>
      </c>
      <c r="C28" s="14">
        <f>(3145/B28*100)</f>
        <v>83.53253652058433</v>
      </c>
      <c r="D28" s="15">
        <v>620</v>
      </c>
      <c r="E28" s="14">
        <v>90.124623310000004</v>
      </c>
      <c r="F28" s="16">
        <v>1.41014339</v>
      </c>
      <c r="G28" s="14">
        <v>5.2377478699999998</v>
      </c>
      <c r="H28" s="16">
        <v>0.98128923000000001</v>
      </c>
      <c r="I28" s="14">
        <v>4.6376288199999998</v>
      </c>
      <c r="J28" s="16">
        <v>0.89831150000000004</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91.985011389999997</v>
      </c>
      <c r="F29" s="16">
        <v>1.3877803399999999</v>
      </c>
      <c r="G29" s="14">
        <v>3.44500458</v>
      </c>
      <c r="H29" s="16">
        <v>0.85060999999999998</v>
      </c>
      <c r="I29" s="14">
        <v>4.5699840299999996</v>
      </c>
      <c r="J29" s="16">
        <v>1.0585144</v>
      </c>
      <c r="K29" s="14" t="s">
        <v>139</v>
      </c>
      <c r="L29" s="16" t="s">
        <v>139</v>
      </c>
      <c r="M29" s="14">
        <v>0</v>
      </c>
      <c r="N29" s="16">
        <v>0</v>
      </c>
      <c r="O29" s="14">
        <v>0</v>
      </c>
      <c r="P29" s="16">
        <v>0</v>
      </c>
      <c r="Q29" s="14">
        <v>0</v>
      </c>
      <c r="R29" s="16">
        <v>0</v>
      </c>
      <c r="S29" s="14">
        <v>0</v>
      </c>
      <c r="T29" s="16">
        <v>0</v>
      </c>
    </row>
    <row r="30" spans="1:20" x14ac:dyDescent="0.25">
      <c r="A30" s="11" t="s">
        <v>163</v>
      </c>
      <c r="B30" s="13">
        <v>2263</v>
      </c>
      <c r="C30" s="14">
        <f>(1886/B30*100)</f>
        <v>83.340698188245682</v>
      </c>
      <c r="D30" s="15">
        <v>377</v>
      </c>
      <c r="E30" s="14">
        <v>86.367434810000006</v>
      </c>
      <c r="F30" s="16">
        <v>1.63133054</v>
      </c>
      <c r="G30" s="14">
        <v>5.5730821600000002</v>
      </c>
      <c r="H30" s="16">
        <v>1.1747432600000001</v>
      </c>
      <c r="I30" s="14">
        <v>8.0594830300000009</v>
      </c>
      <c r="J30" s="16">
        <v>1.3388186</v>
      </c>
      <c r="K30" s="14" t="s">
        <v>139</v>
      </c>
      <c r="L30" s="16" t="s">
        <v>139</v>
      </c>
      <c r="M30" s="14">
        <v>0</v>
      </c>
      <c r="N30" s="16">
        <v>0</v>
      </c>
      <c r="O30" s="14">
        <v>0</v>
      </c>
      <c r="P30" s="16">
        <v>0</v>
      </c>
      <c r="Q30" s="14">
        <v>0</v>
      </c>
      <c r="R30" s="16">
        <v>0</v>
      </c>
      <c r="S30" s="14">
        <v>0</v>
      </c>
      <c r="T30" s="16">
        <v>0</v>
      </c>
    </row>
    <row r="31" spans="1:20" x14ac:dyDescent="0.25">
      <c r="A31" s="11" t="s">
        <v>164</v>
      </c>
      <c r="B31" s="13">
        <v>2750</v>
      </c>
      <c r="C31" s="14">
        <f>(2295/B31*100)</f>
        <v>83.454545454545453</v>
      </c>
      <c r="D31" s="15">
        <v>455</v>
      </c>
      <c r="E31" s="14">
        <v>86.931434100000004</v>
      </c>
      <c r="F31" s="16">
        <v>1.6460984000000001</v>
      </c>
      <c r="G31" s="14">
        <v>4.1251818</v>
      </c>
      <c r="H31" s="16">
        <v>0.96910311000000005</v>
      </c>
      <c r="I31" s="14">
        <v>8.9433840999999994</v>
      </c>
      <c r="J31" s="16">
        <v>1.3501167300000001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(3055/B33*100)</f>
        <v>83.151878062057705</v>
      </c>
      <c r="D33" s="15">
        <v>619</v>
      </c>
      <c r="E33" s="14">
        <v>90.351375149999996</v>
      </c>
      <c r="F33" s="16">
        <v>1.1333948300000001</v>
      </c>
      <c r="G33" s="14">
        <v>4.4781487599999998</v>
      </c>
      <c r="H33" s="16">
        <v>0.72001051000000005</v>
      </c>
      <c r="I33" s="14">
        <v>5.1704760900000002</v>
      </c>
      <c r="J33" s="16">
        <v>1.0891492</v>
      </c>
      <c r="K33" s="14" t="s">
        <v>139</v>
      </c>
      <c r="L33" s="16" t="s">
        <v>139</v>
      </c>
      <c r="M33" s="14">
        <v>0</v>
      </c>
      <c r="N33" s="16">
        <v>0</v>
      </c>
      <c r="O33" s="14">
        <v>0</v>
      </c>
      <c r="P33" s="16">
        <v>0</v>
      </c>
      <c r="Q33" s="14">
        <v>0</v>
      </c>
      <c r="R33" s="16">
        <v>0</v>
      </c>
      <c r="S33" s="14">
        <v>0</v>
      </c>
      <c r="T33" s="16">
        <v>0</v>
      </c>
    </row>
    <row r="34" spans="1:20" x14ac:dyDescent="0.25">
      <c r="A34" s="11" t="s">
        <v>167</v>
      </c>
      <c r="B34" s="13">
        <v>3315</v>
      </c>
      <c r="C34" s="14">
        <f>(2767/B34*100)</f>
        <v>83.469079939668177</v>
      </c>
      <c r="D34" s="15">
        <v>548</v>
      </c>
      <c r="E34" s="14">
        <v>87.921701639999995</v>
      </c>
      <c r="F34" s="16">
        <v>1.5364266099999999</v>
      </c>
      <c r="G34" s="14">
        <v>6.9835979000000004</v>
      </c>
      <c r="H34" s="16">
        <v>1.2538264299999999</v>
      </c>
      <c r="I34" s="14">
        <v>5.0947004600000003</v>
      </c>
      <c r="J34" s="16">
        <v>0.99619882999999998</v>
      </c>
      <c r="K34" s="14" t="s">
        <v>139</v>
      </c>
      <c r="L34" s="16" t="s">
        <v>139</v>
      </c>
      <c r="M34" s="14">
        <v>0</v>
      </c>
      <c r="N34" s="16">
        <v>0</v>
      </c>
      <c r="O34" s="14">
        <v>0</v>
      </c>
      <c r="P34" s="16">
        <v>0</v>
      </c>
      <c r="Q34" s="14">
        <v>0</v>
      </c>
      <c r="R34" s="16">
        <v>0</v>
      </c>
      <c r="S34" s="14">
        <v>0</v>
      </c>
      <c r="T34" s="16">
        <v>0</v>
      </c>
    </row>
    <row r="35" spans="1:20" x14ac:dyDescent="0.25">
      <c r="A35" s="11" t="s">
        <v>168</v>
      </c>
      <c r="B35" s="13">
        <v>3505</v>
      </c>
      <c r="C35" s="14">
        <f>(2927/B35*100)</f>
        <v>83.509272467902989</v>
      </c>
      <c r="D35" s="15">
        <v>578</v>
      </c>
      <c r="E35" s="14">
        <v>91.176326489999994</v>
      </c>
      <c r="F35" s="16">
        <v>1.46498763</v>
      </c>
      <c r="G35" s="14">
        <v>3.2402215999999999</v>
      </c>
      <c r="H35" s="16">
        <v>0.87910266999999997</v>
      </c>
      <c r="I35" s="14">
        <v>5.5834519199999999</v>
      </c>
      <c r="J35" s="16">
        <v>1.12478952</v>
      </c>
      <c r="K35" s="14" t="s">
        <v>139</v>
      </c>
      <c r="L35" s="16" t="s">
        <v>139</v>
      </c>
      <c r="M35" s="14">
        <v>0</v>
      </c>
      <c r="N35" s="16">
        <v>0</v>
      </c>
      <c r="O35" s="14">
        <v>0</v>
      </c>
      <c r="P35" s="16">
        <v>0</v>
      </c>
      <c r="Q35" s="14">
        <v>0</v>
      </c>
      <c r="R35" s="16">
        <v>0</v>
      </c>
      <c r="S35" s="14">
        <v>0</v>
      </c>
      <c r="T35" s="16">
        <v>0</v>
      </c>
    </row>
    <row r="36" spans="1:20" x14ac:dyDescent="0.25">
      <c r="A36" s="11" t="s">
        <v>169</v>
      </c>
      <c r="B36" s="13">
        <v>3332</v>
      </c>
      <c r="C36" s="14">
        <f>(2754/B36*100)</f>
        <v>82.653061224489804</v>
      </c>
      <c r="D36" s="15">
        <v>578</v>
      </c>
      <c r="E36" s="14">
        <v>88.8529202</v>
      </c>
      <c r="F36" s="16">
        <v>1.2518923200000001</v>
      </c>
      <c r="G36" s="14">
        <v>5.2622505200000003</v>
      </c>
      <c r="H36" s="16">
        <v>0.87030832999999996</v>
      </c>
      <c r="I36" s="14">
        <v>5.8848292799999999</v>
      </c>
      <c r="J36" s="16">
        <v>1.0528952300000001</v>
      </c>
      <c r="K36" s="14" t="s">
        <v>139</v>
      </c>
      <c r="L36" s="16" t="s">
        <v>139</v>
      </c>
      <c r="M36" s="14">
        <v>0</v>
      </c>
      <c r="N36" s="16">
        <v>0</v>
      </c>
      <c r="O36" s="14">
        <v>0</v>
      </c>
      <c r="P36" s="16">
        <v>0</v>
      </c>
      <c r="Q36" s="14">
        <v>0</v>
      </c>
      <c r="R36" s="16">
        <v>0</v>
      </c>
      <c r="S36" s="14">
        <v>0</v>
      </c>
      <c r="T36" s="16">
        <v>0</v>
      </c>
    </row>
    <row r="37" spans="1:20" x14ac:dyDescent="0.25">
      <c r="A37" s="11" t="s">
        <v>170</v>
      </c>
      <c r="B37" s="13">
        <v>2727</v>
      </c>
      <c r="C37" s="14">
        <f>(2285/B37*100)</f>
        <v>83.791712504583799</v>
      </c>
      <c r="D37" s="15">
        <v>442</v>
      </c>
      <c r="E37" s="14">
        <v>84.607959190000003</v>
      </c>
      <c r="F37" s="16">
        <v>1.71847438</v>
      </c>
      <c r="G37" s="14">
        <v>6.9765045700000003</v>
      </c>
      <c r="H37" s="16">
        <v>1.38592267</v>
      </c>
      <c r="I37" s="14">
        <v>8.4155362300000007</v>
      </c>
      <c r="J37" s="16">
        <v>1.24347184</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87.323252120000006</v>
      </c>
      <c r="F39" s="16">
        <v>1.4472745300000001</v>
      </c>
      <c r="G39" s="14">
        <v>8.4860977200000001</v>
      </c>
      <c r="H39" s="16">
        <v>1.2684492000000001</v>
      </c>
      <c r="I39" s="14">
        <v>4.1906501599999997</v>
      </c>
      <c r="J39" s="16">
        <v>0.99971787999999995</v>
      </c>
      <c r="K39" s="14" t="s">
        <v>139</v>
      </c>
      <c r="L39" s="16" t="s">
        <v>139</v>
      </c>
      <c r="M39" s="14">
        <v>0</v>
      </c>
      <c r="N39" s="16">
        <v>0</v>
      </c>
      <c r="O39" s="14">
        <v>0</v>
      </c>
      <c r="P39" s="16">
        <v>0</v>
      </c>
      <c r="Q39" s="14">
        <v>0</v>
      </c>
      <c r="R39" s="16">
        <v>0</v>
      </c>
      <c r="S39" s="14">
        <v>0</v>
      </c>
      <c r="T39" s="16">
        <v>0</v>
      </c>
    </row>
    <row r="40" spans="1:20" x14ac:dyDescent="0.25">
      <c r="A40" s="11" t="s">
        <v>173</v>
      </c>
      <c r="B40" s="13">
        <v>7235</v>
      </c>
      <c r="C40" s="14">
        <f>(6008/B40*100)</f>
        <v>83.040774015203866</v>
      </c>
      <c r="D40" s="15">
        <v>1227</v>
      </c>
      <c r="E40" s="14">
        <v>87.689013399999993</v>
      </c>
      <c r="F40" s="16">
        <v>1.5741305400000001</v>
      </c>
      <c r="G40" s="14">
        <v>5.3001453100000004</v>
      </c>
      <c r="H40" s="16">
        <v>0.89276993999999998</v>
      </c>
      <c r="I40" s="14">
        <v>7.0108412900000001</v>
      </c>
      <c r="J40" s="16">
        <v>1.1821409300000001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(2382/B41*100)</f>
        <v>83.344996501049678</v>
      </c>
      <c r="D41" s="15">
        <v>476</v>
      </c>
      <c r="E41" s="14">
        <v>88.731226210000003</v>
      </c>
      <c r="F41" s="16">
        <v>1.5465728599999999</v>
      </c>
      <c r="G41" s="14">
        <v>5.5304690299999999</v>
      </c>
      <c r="H41" s="16">
        <v>1.0631747</v>
      </c>
      <c r="I41" s="14">
        <v>5.7383047600000001</v>
      </c>
      <c r="J41" s="16">
        <v>1.10850067</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83.243956312158545</v>
      </c>
      <c r="D42" s="15">
        <f>IF(COUNT(D7:D41) &gt; 0, AVERAGE(D7:D41), "—")</f>
        <v>612.9375</v>
      </c>
      <c r="E42" s="14">
        <f>IF(COUNT(E7:E41) &gt; 0, AVERAGE(E7:E41), "—")</f>
        <v>88.273910483750001</v>
      </c>
      <c r="F42" s="16">
        <f>IF(COUNT(F7:F41) &gt; 0, SQRT(SUMSQ(F7:F41)/(COUNT(F7:F41)*COUNT(F7:F41)) ), "—")</f>
        <v>0.26324062724681629</v>
      </c>
      <c r="G42" s="14">
        <f>IF(COUNT(G7:G41) &gt; 0, AVERAGE(G7:G41), "—")</f>
        <v>4.992784462187501</v>
      </c>
      <c r="H42" s="16">
        <f>IF(COUNT(H7:H41) &gt; 0, SQRT(SUMSQ(H7:H41)/(COUNT(H7:H41)*COUNT(H7:H41)) ), "—")</f>
        <v>0.17920156211130459</v>
      </c>
      <c r="I42" s="14">
        <f>IF(COUNT(I7:I41) &gt; 0, AVERAGE(I7:I41), "—")</f>
        <v>6.7333050534374976</v>
      </c>
      <c r="J42" s="16">
        <f>IF(COUNT(J7:J41) &gt; 0, SQRT(SUMSQ(J7:J41)/(COUNT(J7:J41)*COUNT(J7:J41)) ), "—")</f>
        <v>0.20264390722816966</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(9504/B46*100)</f>
        <v>85.869172388868805</v>
      </c>
      <c r="D46" s="15">
        <v>1564</v>
      </c>
      <c r="E46" s="14">
        <v>87.798188499999995</v>
      </c>
      <c r="F46" s="16">
        <v>1.01300094</v>
      </c>
      <c r="G46" s="14">
        <v>9.2664296099999994</v>
      </c>
      <c r="H46" s="16">
        <v>0.95270969999999999</v>
      </c>
      <c r="I46" s="14">
        <v>2.9353818899999999</v>
      </c>
      <c r="J46" s="16">
        <v>0.63133360000000005</v>
      </c>
      <c r="K46" s="14" t="s">
        <v>139</v>
      </c>
      <c r="L46" s="16" t="s">
        <v>139</v>
      </c>
      <c r="M46" s="14">
        <v>0</v>
      </c>
      <c r="N46" s="16">
        <v>0</v>
      </c>
      <c r="O46" s="14">
        <v>0</v>
      </c>
      <c r="P46" s="16">
        <v>0</v>
      </c>
      <c r="Q46" s="14">
        <v>0</v>
      </c>
      <c r="R46" s="16">
        <v>0</v>
      </c>
      <c r="S46" s="14">
        <v>0</v>
      </c>
      <c r="T46" s="16">
        <v>0</v>
      </c>
    </row>
    <row r="47" spans="1:20" x14ac:dyDescent="0.25">
      <c r="A47" s="11" t="s">
        <v>180</v>
      </c>
      <c r="B47" s="13">
        <v>3105</v>
      </c>
      <c r="C47" s="14">
        <f>(2595/B47*100)</f>
        <v>83.574879227053145</v>
      </c>
      <c r="D47" s="15">
        <v>510</v>
      </c>
      <c r="E47" s="14">
        <v>92.954668069999997</v>
      </c>
      <c r="F47" s="16">
        <v>1.0319292200000001</v>
      </c>
      <c r="G47" s="14">
        <v>5.3764098200000001</v>
      </c>
      <c r="H47" s="16">
        <v>0.91276086000000001</v>
      </c>
      <c r="I47" s="14">
        <v>1.66892211</v>
      </c>
      <c r="J47" s="16">
        <v>0.57043924999999995</v>
      </c>
      <c r="K47" s="14" t="s">
        <v>139</v>
      </c>
      <c r="L47" s="16" t="s">
        <v>139</v>
      </c>
      <c r="M47" s="14">
        <v>0</v>
      </c>
      <c r="N47" s="16">
        <v>0</v>
      </c>
      <c r="O47" s="14">
        <v>0</v>
      </c>
      <c r="P47" s="16">
        <v>0</v>
      </c>
      <c r="Q47" s="14">
        <v>0</v>
      </c>
      <c r="R47" s="16">
        <v>0</v>
      </c>
      <c r="S47" s="14">
        <v>0</v>
      </c>
      <c r="T47" s="16">
        <v>0</v>
      </c>
    </row>
    <row r="48" spans="1:20" x14ac:dyDescent="0.25">
      <c r="A48" s="11" t="s">
        <v>181</v>
      </c>
      <c r="B48" s="13">
        <v>5159</v>
      </c>
      <c r="C48" s="14">
        <f>(4286/B48*100)</f>
        <v>83.078115913936813</v>
      </c>
      <c r="D48" s="15">
        <v>873</v>
      </c>
      <c r="E48" s="14">
        <v>86.8140784</v>
      </c>
      <c r="F48" s="16">
        <v>1.24219546</v>
      </c>
      <c r="G48" s="14">
        <v>6.7398442000000003</v>
      </c>
      <c r="H48" s="16">
        <v>1.06912235</v>
      </c>
      <c r="I48" s="14">
        <v>6.4460774000000001</v>
      </c>
      <c r="J48" s="16">
        <v>0.83783876000000002</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(4677/B50*100)</f>
        <v>82.969664715274078</v>
      </c>
      <c r="D50" s="15">
        <v>960</v>
      </c>
      <c r="E50" s="14">
        <v>87.324237800000006</v>
      </c>
      <c r="F50" s="16">
        <v>1.2726651200000001</v>
      </c>
      <c r="G50" s="14">
        <v>8.1641076899999998</v>
      </c>
      <c r="H50" s="16">
        <v>1.0944658599999999</v>
      </c>
      <c r="I50" s="14">
        <v>4.5116544999999997</v>
      </c>
      <c r="J50" s="16">
        <v>0.78164535999999996</v>
      </c>
      <c r="K50" s="14" t="s">
        <v>139</v>
      </c>
      <c r="L50" s="16" t="s">
        <v>139</v>
      </c>
      <c r="M50" s="14">
        <v>0</v>
      </c>
      <c r="N50" s="16">
        <v>0</v>
      </c>
      <c r="O50" s="14">
        <v>0</v>
      </c>
      <c r="P50" s="16">
        <v>0</v>
      </c>
      <c r="Q50" s="14">
        <v>0</v>
      </c>
      <c r="R50" s="16">
        <v>0</v>
      </c>
      <c r="S50" s="14">
        <v>0</v>
      </c>
      <c r="T50" s="16">
        <v>0</v>
      </c>
    </row>
    <row r="51" spans="1:20" x14ac:dyDescent="0.25">
      <c r="A51" s="11" t="s">
        <v>184</v>
      </c>
      <c r="B51" s="13">
        <v>3372</v>
      </c>
      <c r="C51" s="14">
        <f>(2852/B51*100)</f>
        <v>84.578884934756829</v>
      </c>
      <c r="D51" s="15">
        <v>520</v>
      </c>
      <c r="E51" s="14">
        <v>88.487413829999994</v>
      </c>
      <c r="F51" s="16">
        <v>1.65952783</v>
      </c>
      <c r="G51" s="14">
        <v>6.6622333400000002</v>
      </c>
      <c r="H51" s="16">
        <v>1.2225935699999999</v>
      </c>
      <c r="I51" s="14">
        <v>4.8503528300000003</v>
      </c>
      <c r="J51" s="16">
        <v>0.96083934000000004</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(2340/B52*100)</f>
        <v>83.690987124463518</v>
      </c>
      <c r="D52" s="15">
        <v>456</v>
      </c>
      <c r="E52" s="14">
        <v>89.861282310000007</v>
      </c>
      <c r="F52" s="16">
        <v>1.3124240599999999</v>
      </c>
      <c r="G52" s="14">
        <v>3.8475188999999999</v>
      </c>
      <c r="H52" s="16">
        <v>0.77834157999999998</v>
      </c>
      <c r="I52" s="14">
        <v>6.2911987900000002</v>
      </c>
      <c r="J52" s="16">
        <v>1.1396423</v>
      </c>
      <c r="K52" s="14" t="s">
        <v>139</v>
      </c>
      <c r="L52" s="16" t="s">
        <v>139</v>
      </c>
      <c r="M52" s="14">
        <v>0</v>
      </c>
      <c r="N52" s="16">
        <v>0</v>
      </c>
      <c r="O52" s="14">
        <v>0</v>
      </c>
      <c r="P52" s="16">
        <v>0</v>
      </c>
      <c r="Q52" s="14">
        <v>0</v>
      </c>
      <c r="R52" s="16">
        <v>0</v>
      </c>
      <c r="S52" s="14">
        <v>0</v>
      </c>
      <c r="T52" s="16">
        <v>0</v>
      </c>
    </row>
    <row r="53" spans="1:20" x14ac:dyDescent="0.25">
      <c r="A53" s="11" t="s">
        <v>186</v>
      </c>
      <c r="B53" s="13">
        <v>2811</v>
      </c>
      <c r="C53" s="14">
        <f>(2335/B53*100)</f>
        <v>83.066524368552123</v>
      </c>
      <c r="D53" s="15">
        <v>476</v>
      </c>
      <c r="E53" s="14">
        <v>87.645916029999995</v>
      </c>
      <c r="F53" s="16">
        <v>1.69844576</v>
      </c>
      <c r="G53" s="14">
        <v>8.8196963799999999</v>
      </c>
      <c r="H53" s="16">
        <v>1.4513538100000001</v>
      </c>
      <c r="I53" s="14">
        <v>3.5343875800000002</v>
      </c>
      <c r="J53" s="16">
        <v>0.82196132</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(2240/B56*100)</f>
        <v>83.457526080476896</v>
      </c>
      <c r="D56" s="15">
        <v>444</v>
      </c>
      <c r="E56" s="14">
        <v>91.110060540000006</v>
      </c>
      <c r="F56" s="16">
        <v>1.52250939</v>
      </c>
      <c r="G56" s="14">
        <v>4.5075738699999999</v>
      </c>
      <c r="H56" s="16">
        <v>1.11410754</v>
      </c>
      <c r="I56" s="14">
        <v>4.38236559</v>
      </c>
      <c r="J56" s="16">
        <v>1.0534262299999999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(2779/B61*100)</f>
        <v>83.604091456077015</v>
      </c>
      <c r="D61" s="15">
        <v>545</v>
      </c>
      <c r="E61" s="14">
        <v>88.969793159999995</v>
      </c>
      <c r="F61" s="16">
        <v>1.7226603899999999</v>
      </c>
      <c r="G61" s="14">
        <v>4.00677693</v>
      </c>
      <c r="H61" s="16">
        <v>0.72903943999999998</v>
      </c>
      <c r="I61" s="14">
        <v>7.0234299199999999</v>
      </c>
      <c r="J61" s="16">
        <v>1.3555877000000001</v>
      </c>
      <c r="K61" s="14" t="s">
        <v>139</v>
      </c>
      <c r="L61" s="16" t="s">
        <v>139</v>
      </c>
      <c r="M61" s="14">
        <v>0</v>
      </c>
      <c r="N61" s="16">
        <v>0</v>
      </c>
      <c r="O61" s="14">
        <v>0</v>
      </c>
      <c r="P61" s="16">
        <v>0</v>
      </c>
      <c r="Q61" s="14">
        <v>0</v>
      </c>
      <c r="R61" s="16">
        <v>0</v>
      </c>
      <c r="S61" s="14">
        <v>0</v>
      </c>
      <c r="T61" s="16">
        <v>0</v>
      </c>
    </row>
    <row r="62" spans="1:20" x14ac:dyDescent="0.25">
      <c r="A62" s="11" t="s">
        <v>195</v>
      </c>
      <c r="B62" s="13">
        <v>2246</v>
      </c>
      <c r="C62" s="14">
        <f>(1846/B62*100)</f>
        <v>82.190560997328589</v>
      </c>
      <c r="D62" s="15">
        <v>400</v>
      </c>
      <c r="E62" s="14">
        <v>84.295955340000006</v>
      </c>
      <c r="F62" s="16">
        <v>1.52230829</v>
      </c>
      <c r="G62" s="14">
        <v>7.7288266099999996</v>
      </c>
      <c r="H62" s="16">
        <v>1.2786073600000001</v>
      </c>
      <c r="I62" s="14">
        <v>7.9752180499999996</v>
      </c>
      <c r="J62" s="16">
        <v>1.2089240999999999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(2437/B66*100)</f>
        <v>84.208707671043541</v>
      </c>
      <c r="D66" s="15">
        <v>457</v>
      </c>
      <c r="E66" s="14">
        <v>89.989144629999998</v>
      </c>
      <c r="F66" s="16">
        <v>1.4470948400000001</v>
      </c>
      <c r="G66" s="14">
        <v>7.1095855099999996</v>
      </c>
      <c r="H66" s="16">
        <v>1.2229912599999999</v>
      </c>
      <c r="I66" s="14">
        <v>2.9012698600000002</v>
      </c>
      <c r="J66" s="16">
        <v>0.80255016000000001</v>
      </c>
      <c r="K66" s="14" t="s">
        <v>139</v>
      </c>
      <c r="L66" s="16" t="s">
        <v>139</v>
      </c>
      <c r="M66" s="14">
        <v>0</v>
      </c>
      <c r="N66" s="16">
        <v>0</v>
      </c>
      <c r="O66" s="14">
        <v>0</v>
      </c>
      <c r="P66" s="16">
        <v>0</v>
      </c>
      <c r="Q66" s="14">
        <v>0</v>
      </c>
      <c r="R66" s="16">
        <v>0</v>
      </c>
      <c r="S66" s="14">
        <v>0</v>
      </c>
      <c r="T66" s="16">
        <v>0</v>
      </c>
    </row>
    <row r="67" spans="1:20" x14ac:dyDescent="0.25">
      <c r="A67" s="11" t="s">
        <v>200</v>
      </c>
      <c r="B67" s="13">
        <v>3511</v>
      </c>
      <c r="C67" s="14">
        <f>(2954/B67*100)</f>
        <v>84.135573910566791</v>
      </c>
      <c r="D67" s="15">
        <v>557</v>
      </c>
      <c r="E67" s="14">
        <v>86.936621520000003</v>
      </c>
      <c r="F67" s="16">
        <v>1.22153019</v>
      </c>
      <c r="G67" s="14">
        <v>8.53312369</v>
      </c>
      <c r="H67" s="16">
        <v>1.00158312</v>
      </c>
      <c r="I67" s="14">
        <v>4.5302547999999998</v>
      </c>
      <c r="J67" s="16">
        <v>0.92151377000000001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(2439/B70*100)</f>
        <v>83.270740867190156</v>
      </c>
      <c r="D70" s="15">
        <v>490</v>
      </c>
      <c r="E70" s="14">
        <v>89.295224279999999</v>
      </c>
      <c r="F70" s="16">
        <v>1.7989856099999999</v>
      </c>
      <c r="G70" s="14">
        <v>7.6288891799999998</v>
      </c>
      <c r="H70" s="16">
        <v>1.55405346</v>
      </c>
      <c r="I70" s="14">
        <v>3.0758865399999999</v>
      </c>
      <c r="J70" s="16">
        <v>0.78578364999999994</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93.188257019999995</v>
      </c>
      <c r="F72" s="16">
        <v>0.76843408999999996</v>
      </c>
      <c r="G72" s="14">
        <v>2.2925589400000002</v>
      </c>
      <c r="H72" s="16">
        <v>0.56889670000000003</v>
      </c>
      <c r="I72" s="14">
        <v>4.5191840399999998</v>
      </c>
      <c r="J72" s="16">
        <v>0.71850782999999996</v>
      </c>
      <c r="K72" s="14" t="s">
        <v>139</v>
      </c>
      <c r="L72" s="16" t="s">
        <v>139</v>
      </c>
      <c r="M72" s="14">
        <v>0</v>
      </c>
      <c r="N72" s="16">
        <v>0</v>
      </c>
      <c r="O72" s="14">
        <v>0</v>
      </c>
      <c r="P72" s="16">
        <v>0</v>
      </c>
      <c r="Q72" s="14">
        <v>0</v>
      </c>
      <c r="R72" s="16">
        <v>0</v>
      </c>
      <c r="S72" s="14">
        <v>0</v>
      </c>
      <c r="T72" s="16">
        <v>0</v>
      </c>
    </row>
    <row r="73" spans="1:20" x14ac:dyDescent="0.25">
      <c r="A73" s="11" t="s">
        <v>206</v>
      </c>
      <c r="B73" s="13">
        <v>3597</v>
      </c>
      <c r="C73" s="14">
        <f>(2987/B73*100)</f>
        <v>83.041423408395886</v>
      </c>
      <c r="D73" s="15">
        <v>610</v>
      </c>
      <c r="E73" s="14">
        <v>77.821275189999994</v>
      </c>
      <c r="F73" s="16">
        <v>2.3863288900000001</v>
      </c>
      <c r="G73" s="14">
        <v>16.29495477</v>
      </c>
      <c r="H73" s="16">
        <v>2.1906151199999999</v>
      </c>
      <c r="I73" s="14">
        <v>5.8837700399999999</v>
      </c>
      <c r="J73" s="16">
        <v>0.92254290000000005</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(2031/B75*100)</f>
        <v>84.413965087281795</v>
      </c>
      <c r="D75" s="15">
        <v>375</v>
      </c>
      <c r="E75" s="14">
        <v>86.976951069999998</v>
      </c>
      <c r="F75" s="16">
        <v>1.8334424899999999</v>
      </c>
      <c r="G75" s="14">
        <v>8.6034983100000009</v>
      </c>
      <c r="H75" s="16">
        <v>1.53729559</v>
      </c>
      <c r="I75" s="14">
        <v>4.4195506199999999</v>
      </c>
      <c r="J75" s="16">
        <v>0.94773399000000003</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(5862/B76*100)</f>
        <v>83.125354509359056</v>
      </c>
      <c r="D76" s="15">
        <v>1190</v>
      </c>
      <c r="E76" s="14">
        <v>85.728387310000002</v>
      </c>
      <c r="F76" s="16">
        <v>1.4136831000000001</v>
      </c>
      <c r="G76" s="14">
        <v>9.0058049600000007</v>
      </c>
      <c r="H76" s="16">
        <v>1.03156095</v>
      </c>
      <c r="I76" s="14">
        <v>5.2658077299999997</v>
      </c>
      <c r="J76" s="16">
        <v>0.89260172000000004</v>
      </c>
      <c r="K76" s="14" t="s">
        <v>139</v>
      </c>
      <c r="L76" s="16" t="s">
        <v>139</v>
      </c>
      <c r="M76" s="14">
        <v>0</v>
      </c>
      <c r="N76" s="16">
        <v>0</v>
      </c>
      <c r="O76" s="14">
        <v>0</v>
      </c>
      <c r="P76" s="16">
        <v>0</v>
      </c>
      <c r="Q76" s="14">
        <v>0</v>
      </c>
      <c r="R76" s="16">
        <v>0</v>
      </c>
      <c r="S76" s="14">
        <v>0</v>
      </c>
      <c r="T76" s="16">
        <v>0</v>
      </c>
    </row>
    <row r="77" spans="1:20" x14ac:dyDescent="0.25">
      <c r="A77" s="11" t="s">
        <v>210</v>
      </c>
      <c r="B77" s="13">
        <v>2908</v>
      </c>
      <c r="C77" s="14">
        <f>(2457/B77*100)</f>
        <v>84.491059147180195</v>
      </c>
      <c r="D77" s="15">
        <v>451</v>
      </c>
      <c r="E77" s="14">
        <v>90.692753049999993</v>
      </c>
      <c r="F77" s="16">
        <v>1.5202167</v>
      </c>
      <c r="G77" s="14">
        <v>3.8762904699999998</v>
      </c>
      <c r="H77" s="16">
        <v>1.1191991299999999</v>
      </c>
      <c r="I77" s="14">
        <v>5.4309564799999999</v>
      </c>
      <c r="J77" s="16">
        <v>1.07189059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(3451/B81*100)</f>
        <v>82.896949315397549</v>
      </c>
      <c r="D81" s="15">
        <v>712</v>
      </c>
      <c r="E81" s="14">
        <v>86.196950869999995</v>
      </c>
      <c r="F81" s="16">
        <v>1.5978130100000001</v>
      </c>
      <c r="G81" s="14">
        <v>7.8051806199999998</v>
      </c>
      <c r="H81" s="16">
        <v>1.3007534199999999</v>
      </c>
      <c r="I81" s="14">
        <v>5.99786851</v>
      </c>
      <c r="J81" s="16">
        <v>0.98965486999999996</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315</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(6156/B7*100)</f>
        <v>83.561829781457845</v>
      </c>
      <c r="D7" s="15">
        <v>1211</v>
      </c>
      <c r="E7" s="14">
        <v>33.26911269</v>
      </c>
      <c r="F7" s="16">
        <v>1.7948183499999999</v>
      </c>
      <c r="G7" s="14">
        <v>8.4436848700000002</v>
      </c>
      <c r="H7" s="16">
        <v>0.92427988999999999</v>
      </c>
      <c r="I7" s="14">
        <v>58.287202440000002</v>
      </c>
      <c r="J7" s="16">
        <v>1.61358523</v>
      </c>
      <c r="K7" s="14" t="s">
        <v>139</v>
      </c>
      <c r="L7" s="16" t="s">
        <v>139</v>
      </c>
      <c r="M7" s="14">
        <v>0</v>
      </c>
      <c r="N7" s="16">
        <v>0</v>
      </c>
      <c r="O7" s="14">
        <v>0</v>
      </c>
      <c r="P7" s="16">
        <v>0</v>
      </c>
      <c r="Q7" s="14">
        <v>0</v>
      </c>
      <c r="R7" s="16">
        <v>0</v>
      </c>
      <c r="S7" s="14">
        <v>0</v>
      </c>
      <c r="T7" s="16">
        <v>0</v>
      </c>
    </row>
    <row r="8" spans="1:20" x14ac:dyDescent="0.25">
      <c r="A8" s="11" t="s">
        <v>140</v>
      </c>
      <c r="B8" s="13">
        <v>3564</v>
      </c>
      <c r="C8" s="14">
        <f>(2953/B8*100)</f>
        <v>82.856341189674524</v>
      </c>
      <c r="D8" s="15">
        <v>611</v>
      </c>
      <c r="E8" s="14">
        <v>46.614304519999997</v>
      </c>
      <c r="F8" s="16">
        <v>2.0363642999999998</v>
      </c>
      <c r="G8" s="14">
        <v>16.21736701</v>
      </c>
      <c r="H8" s="16">
        <v>1.5779730700000001</v>
      </c>
      <c r="I8" s="14">
        <v>37.168328469999999</v>
      </c>
      <c r="J8" s="16">
        <v>1.92915251</v>
      </c>
      <c r="K8" s="14" t="s">
        <v>139</v>
      </c>
      <c r="L8" s="16" t="s">
        <v>139</v>
      </c>
      <c r="M8" s="14">
        <v>0</v>
      </c>
      <c r="N8" s="16">
        <v>0</v>
      </c>
      <c r="O8" s="14">
        <v>0</v>
      </c>
      <c r="P8" s="16">
        <v>0</v>
      </c>
      <c r="Q8" s="14">
        <v>0</v>
      </c>
      <c r="R8" s="16">
        <v>0</v>
      </c>
      <c r="S8" s="14">
        <v>0</v>
      </c>
      <c r="T8" s="16">
        <v>0</v>
      </c>
    </row>
    <row r="9" spans="1:20" x14ac:dyDescent="0.25">
      <c r="A9" s="11" t="s">
        <v>141</v>
      </c>
      <c r="B9" s="13">
        <v>4899</v>
      </c>
      <c r="C9" s="14">
        <f>(4101/B9*100)</f>
        <v>83.710961420698098</v>
      </c>
      <c r="D9" s="15">
        <v>798</v>
      </c>
      <c r="E9" s="14">
        <v>50.047694620000001</v>
      </c>
      <c r="F9" s="16">
        <v>1.7062723500000001</v>
      </c>
      <c r="G9" s="14">
        <v>13.85603914</v>
      </c>
      <c r="H9" s="16">
        <v>1.2301859399999999</v>
      </c>
      <c r="I9" s="14">
        <v>36.096266239999999</v>
      </c>
      <c r="J9" s="16">
        <v>1.5655408799999999</v>
      </c>
      <c r="K9" s="14" t="s">
        <v>139</v>
      </c>
      <c r="L9" s="16" t="s">
        <v>139</v>
      </c>
      <c r="M9" s="14">
        <v>0</v>
      </c>
      <c r="N9" s="16">
        <v>0</v>
      </c>
      <c r="O9" s="14">
        <v>0</v>
      </c>
      <c r="P9" s="16">
        <v>0</v>
      </c>
      <c r="Q9" s="14">
        <v>0</v>
      </c>
      <c r="R9" s="16">
        <v>0</v>
      </c>
      <c r="S9" s="14">
        <v>0</v>
      </c>
      <c r="T9" s="16">
        <v>0</v>
      </c>
    </row>
    <row r="10" spans="1:20" x14ac:dyDescent="0.25">
      <c r="A10" s="11" t="s">
        <v>142</v>
      </c>
      <c r="B10" s="13">
        <v>10036</v>
      </c>
      <c r="C10" s="14">
        <f>(8359/B10*100)</f>
        <v>83.290155440414509</v>
      </c>
      <c r="D10" s="15">
        <v>1677</v>
      </c>
      <c r="E10" s="14">
        <v>34.809441040000003</v>
      </c>
      <c r="F10" s="16">
        <v>1.8674080900000001</v>
      </c>
      <c r="G10" s="14">
        <v>9.2914822299999997</v>
      </c>
      <c r="H10" s="16">
        <v>0.92994016000000002</v>
      </c>
      <c r="I10" s="14">
        <v>55.899076729999997</v>
      </c>
      <c r="J10" s="16">
        <v>1.92945023</v>
      </c>
      <c r="K10" s="14" t="s">
        <v>139</v>
      </c>
      <c r="L10" s="16" t="s">
        <v>139</v>
      </c>
      <c r="M10" s="14">
        <v>0</v>
      </c>
      <c r="N10" s="16">
        <v>0</v>
      </c>
      <c r="O10" s="14">
        <v>0</v>
      </c>
      <c r="P10" s="16">
        <v>0</v>
      </c>
      <c r="Q10" s="14">
        <v>0</v>
      </c>
      <c r="R10" s="16">
        <v>0</v>
      </c>
      <c r="S10" s="14">
        <v>0</v>
      </c>
      <c r="T10" s="16">
        <v>0</v>
      </c>
    </row>
    <row r="11" spans="1:20" x14ac:dyDescent="0.25">
      <c r="A11" s="11" t="s">
        <v>143</v>
      </c>
      <c r="B11" s="13">
        <v>3553</v>
      </c>
      <c r="C11" s="14">
        <f>(2964/B11*100)</f>
        <v>83.422459893048128</v>
      </c>
      <c r="D11" s="15">
        <v>589</v>
      </c>
      <c r="E11" s="14">
        <v>63.111109399999997</v>
      </c>
      <c r="F11" s="16">
        <v>2.1667835800000002</v>
      </c>
      <c r="G11" s="14">
        <v>13.619483369999999</v>
      </c>
      <c r="H11" s="16">
        <v>1.5965670599999999</v>
      </c>
      <c r="I11" s="14">
        <v>23.269407229999999</v>
      </c>
      <c r="J11" s="16">
        <v>1.92065193</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(2865/B12*100)</f>
        <v>82.517281105990776</v>
      </c>
      <c r="D12" s="15">
        <v>607</v>
      </c>
      <c r="E12" s="14">
        <v>44.964037759999997</v>
      </c>
      <c r="F12" s="16">
        <v>2.3881122100000001</v>
      </c>
      <c r="G12" s="14">
        <v>16.804150109999998</v>
      </c>
      <c r="H12" s="16">
        <v>1.73037084</v>
      </c>
      <c r="I12" s="14">
        <v>38.231812130000002</v>
      </c>
      <c r="J12" s="16">
        <v>2.4732096600000002</v>
      </c>
      <c r="K12" s="14" t="s">
        <v>139</v>
      </c>
      <c r="L12" s="16" t="s">
        <v>139</v>
      </c>
      <c r="M12" s="14">
        <v>0</v>
      </c>
      <c r="N12" s="16">
        <v>0</v>
      </c>
      <c r="O12" s="14">
        <v>0</v>
      </c>
      <c r="P12" s="16">
        <v>0</v>
      </c>
      <c r="Q12" s="14">
        <v>0</v>
      </c>
      <c r="R12" s="16">
        <v>0</v>
      </c>
      <c r="S12" s="14">
        <v>0</v>
      </c>
      <c r="T12" s="16">
        <v>0</v>
      </c>
    </row>
    <row r="13" spans="1:20" x14ac:dyDescent="0.25">
      <c r="A13" s="11" t="s">
        <v>145</v>
      </c>
      <c r="B13" s="13">
        <v>3559</v>
      </c>
      <c r="C13" s="14">
        <f>(3005/B13*100)</f>
        <v>84.433829727451524</v>
      </c>
      <c r="D13" s="15">
        <v>554</v>
      </c>
      <c r="E13" s="14">
        <v>27.21723312</v>
      </c>
      <c r="F13" s="16">
        <v>2.51100938</v>
      </c>
      <c r="G13" s="14">
        <v>10.00155109</v>
      </c>
      <c r="H13" s="16">
        <v>1.4215307100000001</v>
      </c>
      <c r="I13" s="14">
        <v>62.781215799999998</v>
      </c>
      <c r="J13" s="16">
        <v>2.7769558600000002</v>
      </c>
      <c r="K13" s="14" t="s">
        <v>139</v>
      </c>
      <c r="L13" s="16" t="s">
        <v>139</v>
      </c>
      <c r="M13" s="14">
        <v>0</v>
      </c>
      <c r="N13" s="16">
        <v>0</v>
      </c>
      <c r="O13" s="14">
        <v>0</v>
      </c>
      <c r="P13" s="16">
        <v>0</v>
      </c>
      <c r="Q13" s="14">
        <v>0</v>
      </c>
      <c r="R13" s="16">
        <v>0</v>
      </c>
      <c r="S13" s="14">
        <v>0</v>
      </c>
      <c r="T13" s="16">
        <v>0</v>
      </c>
    </row>
    <row r="14" spans="1:20" x14ac:dyDescent="0.25">
      <c r="A14" s="11" t="s">
        <v>146</v>
      </c>
      <c r="B14" s="13">
        <v>2799</v>
      </c>
      <c r="C14" s="14">
        <f>(2321/B14*100)</f>
        <v>82.922472311539835</v>
      </c>
      <c r="D14" s="15">
        <v>478</v>
      </c>
      <c r="E14" s="14">
        <v>38.186929929999998</v>
      </c>
      <c r="F14" s="16">
        <v>2.6426524200000001</v>
      </c>
      <c r="G14" s="14">
        <v>8.3568064999999994</v>
      </c>
      <c r="H14" s="16">
        <v>1.47639315</v>
      </c>
      <c r="I14" s="14">
        <v>53.456263559999996</v>
      </c>
      <c r="J14" s="16">
        <v>2.4729001400000001</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(2509/B15*100)</f>
        <v>83.10698906922822</v>
      </c>
      <c r="D15" s="15">
        <v>510</v>
      </c>
      <c r="E15" s="14">
        <v>29.70896166</v>
      </c>
      <c r="F15" s="16">
        <v>2.3208734799999999</v>
      </c>
      <c r="G15" s="14">
        <v>6.1585147400000002</v>
      </c>
      <c r="H15" s="16">
        <v>1.06504391</v>
      </c>
      <c r="I15" s="14">
        <v>64.132523599999999</v>
      </c>
      <c r="J15" s="16">
        <v>2.22668965</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(2517/B16*100)</f>
        <v>83.983983983983975</v>
      </c>
      <c r="D16" s="15">
        <v>480</v>
      </c>
      <c r="E16" s="14">
        <v>47.276568300000001</v>
      </c>
      <c r="F16" s="16">
        <v>2.2345392099999999</v>
      </c>
      <c r="G16" s="14">
        <v>12.00956336</v>
      </c>
      <c r="H16" s="16">
        <v>1.4926372400000001</v>
      </c>
      <c r="I16" s="14">
        <v>40.713868339999998</v>
      </c>
      <c r="J16" s="16">
        <v>2.4450670200000002</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(2793/B17*100)</f>
        <v>84.457211974599332</v>
      </c>
      <c r="D17" s="15">
        <v>514</v>
      </c>
      <c r="E17" s="14">
        <v>44.752832759999997</v>
      </c>
      <c r="F17" s="16">
        <v>2.3426587099999998</v>
      </c>
      <c r="G17" s="14">
        <v>15.212205519999999</v>
      </c>
      <c r="H17" s="16">
        <v>1.7111447799999999</v>
      </c>
      <c r="I17" s="14">
        <v>40.034961719999998</v>
      </c>
      <c r="J17" s="16">
        <v>2.5004920400000001</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(2348/B18*100)</f>
        <v>83.08563340410474</v>
      </c>
      <c r="D18" s="15">
        <v>478</v>
      </c>
      <c r="E18" s="14">
        <v>61.38881241</v>
      </c>
      <c r="F18" s="16">
        <v>2.7355159200000001</v>
      </c>
      <c r="G18" s="14">
        <v>7.6608532399999998</v>
      </c>
      <c r="H18" s="16">
        <v>1.1874178799999999</v>
      </c>
      <c r="I18" s="14">
        <v>30.950334349999999</v>
      </c>
      <c r="J18" s="16">
        <v>2.3414437000000001</v>
      </c>
      <c r="K18" s="14" t="s">
        <v>139</v>
      </c>
      <c r="L18" s="16" t="s">
        <v>139</v>
      </c>
      <c r="M18" s="14">
        <v>0</v>
      </c>
      <c r="N18" s="16">
        <v>0</v>
      </c>
      <c r="O18" s="14">
        <v>0</v>
      </c>
      <c r="P18" s="16">
        <v>0</v>
      </c>
      <c r="Q18" s="14">
        <v>0</v>
      </c>
      <c r="R18" s="16">
        <v>0</v>
      </c>
      <c r="S18" s="14">
        <v>0</v>
      </c>
      <c r="T18" s="16">
        <v>0</v>
      </c>
    </row>
    <row r="19" spans="1:20" x14ac:dyDescent="0.25">
      <c r="A19" s="11" t="s">
        <v>151</v>
      </c>
      <c r="B19" s="13">
        <v>2808</v>
      </c>
      <c r="C19" s="14">
        <f>(2341/B19*100)</f>
        <v>83.368945868945872</v>
      </c>
      <c r="D19" s="15">
        <v>467</v>
      </c>
      <c r="E19" s="14">
        <v>55.252501340000002</v>
      </c>
      <c r="F19" s="16">
        <v>2.2602547199999998</v>
      </c>
      <c r="G19" s="14">
        <v>18.247105619999999</v>
      </c>
      <c r="H19" s="16">
        <v>2.08008733</v>
      </c>
      <c r="I19" s="14">
        <v>26.500393039999999</v>
      </c>
      <c r="J19" s="16">
        <v>2.3747113500000001</v>
      </c>
      <c r="K19" s="14" t="s">
        <v>139</v>
      </c>
      <c r="L19" s="16" t="s">
        <v>139</v>
      </c>
      <c r="M19" s="14">
        <v>0</v>
      </c>
      <c r="N19" s="16">
        <v>0</v>
      </c>
      <c r="O19" s="14">
        <v>0</v>
      </c>
      <c r="P19" s="16">
        <v>0</v>
      </c>
      <c r="Q19" s="14">
        <v>0</v>
      </c>
      <c r="R19" s="16">
        <v>0</v>
      </c>
      <c r="S19" s="14">
        <v>0</v>
      </c>
      <c r="T19" s="16">
        <v>0</v>
      </c>
    </row>
    <row r="20" spans="1:20" x14ac:dyDescent="0.25">
      <c r="A20" s="11" t="s">
        <v>152</v>
      </c>
      <c r="B20" s="13">
        <v>1630</v>
      </c>
      <c r="C20" s="14">
        <f>(1364/B20*100)</f>
        <v>83.680981595092035</v>
      </c>
      <c r="D20" s="15">
        <v>266</v>
      </c>
      <c r="E20" s="14">
        <v>37.774049580000003</v>
      </c>
      <c r="F20" s="16">
        <v>3.4715828000000002</v>
      </c>
      <c r="G20" s="14">
        <v>14.652160800000001</v>
      </c>
      <c r="H20" s="16">
        <v>2.5198889100000001</v>
      </c>
      <c r="I20" s="14">
        <v>47.573789619999999</v>
      </c>
      <c r="J20" s="16">
        <v>3.4733132499999999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(2446/B22*100)</f>
        <v>83.452746502900027</v>
      </c>
      <c r="D22" s="15">
        <v>485</v>
      </c>
      <c r="E22" s="14">
        <v>51.128220489999997</v>
      </c>
      <c r="F22" s="16">
        <v>2.4394349100000001</v>
      </c>
      <c r="G22" s="14">
        <v>10.42375614</v>
      </c>
      <c r="H22" s="16">
        <v>1.7178028299999999</v>
      </c>
      <c r="I22" s="14">
        <v>38.448023360000001</v>
      </c>
      <c r="J22" s="16">
        <v>2.3342271000000001</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(4797/B23*100)</f>
        <v>82.835434294595061</v>
      </c>
      <c r="D23" s="15">
        <v>994</v>
      </c>
      <c r="E23" s="14">
        <v>59.101816419999999</v>
      </c>
      <c r="F23" s="16">
        <v>1.99624238</v>
      </c>
      <c r="G23" s="14">
        <v>12.133795859999999</v>
      </c>
      <c r="H23" s="16">
        <v>1.52106652</v>
      </c>
      <c r="I23" s="14">
        <v>28.764387719999998</v>
      </c>
      <c r="J23" s="16">
        <v>1.88892638</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(2777/B24*100)</f>
        <v>83.193529059316944</v>
      </c>
      <c r="D24" s="15">
        <v>561</v>
      </c>
      <c r="E24" s="14">
        <v>22.182342810000002</v>
      </c>
      <c r="F24" s="16">
        <v>2.1578086500000002</v>
      </c>
      <c r="G24" s="14">
        <v>12.27095937</v>
      </c>
      <c r="H24" s="16">
        <v>1.20871679</v>
      </c>
      <c r="I24" s="14">
        <v>65.546697829999999</v>
      </c>
      <c r="J24" s="16">
        <v>2.0538178899999999</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19.308892109999999</v>
      </c>
      <c r="F25" s="16">
        <v>2.0075715999999999</v>
      </c>
      <c r="G25" s="14">
        <v>7.3636471800000001</v>
      </c>
      <c r="H25" s="16">
        <v>1.4014132399999999</v>
      </c>
      <c r="I25" s="14">
        <v>73.327460709999997</v>
      </c>
      <c r="J25" s="16">
        <v>2.41619574</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(2044/B26*100)</f>
        <v>83.428571428571431</v>
      </c>
      <c r="D26" s="15">
        <v>406</v>
      </c>
      <c r="E26" s="14">
        <v>54.238583120000001</v>
      </c>
      <c r="F26" s="16">
        <v>2.7011304900000002</v>
      </c>
      <c r="G26" s="14">
        <v>12.628478919999999</v>
      </c>
      <c r="H26" s="16">
        <v>1.8777688699999999</v>
      </c>
      <c r="I26" s="14">
        <v>33.13293796</v>
      </c>
      <c r="J26" s="16">
        <v>2.3016534599999998</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(2189/B27*100)</f>
        <v>83.677370030581045</v>
      </c>
      <c r="D27" s="15">
        <v>427</v>
      </c>
      <c r="E27" s="14">
        <v>54.095777490000003</v>
      </c>
      <c r="F27" s="16">
        <v>2.6300755100000002</v>
      </c>
      <c r="G27" s="14">
        <v>15.38626376</v>
      </c>
      <c r="H27" s="16">
        <v>1.75865874</v>
      </c>
      <c r="I27" s="14">
        <v>30.517958759999999</v>
      </c>
      <c r="J27" s="16">
        <v>2.4604908499999998</v>
      </c>
      <c r="K27" s="14" t="s">
        <v>139</v>
      </c>
      <c r="L27" s="16" t="s">
        <v>139</v>
      </c>
      <c r="M27" s="14">
        <v>0</v>
      </c>
      <c r="N27" s="16">
        <v>0</v>
      </c>
      <c r="O27" s="14">
        <v>0</v>
      </c>
      <c r="P27" s="16">
        <v>0</v>
      </c>
      <c r="Q27" s="14">
        <v>0</v>
      </c>
      <c r="R27" s="16">
        <v>0</v>
      </c>
      <c r="S27" s="14">
        <v>0</v>
      </c>
      <c r="T27" s="16">
        <v>0</v>
      </c>
    </row>
    <row r="28" spans="1:20" x14ac:dyDescent="0.25">
      <c r="A28" s="11" t="s">
        <v>161</v>
      </c>
      <c r="B28" s="13">
        <v>3765</v>
      </c>
      <c r="C28" s="14">
        <f>(3164/B28*100)</f>
        <v>84.037184594953516</v>
      </c>
      <c r="D28" s="15">
        <v>601</v>
      </c>
      <c r="E28" s="14">
        <v>65.974394919999995</v>
      </c>
      <c r="F28" s="16">
        <v>1.9353515800000001</v>
      </c>
      <c r="G28" s="14">
        <v>9.9373825399999998</v>
      </c>
      <c r="H28" s="16">
        <v>1.13110763</v>
      </c>
      <c r="I28" s="14">
        <v>24.08822254</v>
      </c>
      <c r="J28" s="16">
        <v>1.7205383999999999</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51.436467739999998</v>
      </c>
      <c r="F29" s="16">
        <v>2.53491541</v>
      </c>
      <c r="G29" s="14">
        <v>15.98353446</v>
      </c>
      <c r="H29" s="16">
        <v>1.5484053099999999</v>
      </c>
      <c r="I29" s="14">
        <v>32.57999779</v>
      </c>
      <c r="J29" s="16">
        <v>2.1200993700000001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(1891/B30*100)</f>
        <v>83.561643835616437</v>
      </c>
      <c r="D30" s="15">
        <v>372</v>
      </c>
      <c r="E30" s="14">
        <v>35.026252290000002</v>
      </c>
      <c r="F30" s="16">
        <v>2.31296707</v>
      </c>
      <c r="G30" s="14">
        <v>7.5377042200000002</v>
      </c>
      <c r="H30" s="16">
        <v>1.3731467100000001</v>
      </c>
      <c r="I30" s="14">
        <v>57.436043490000003</v>
      </c>
      <c r="J30" s="16">
        <v>2.3888533999999999</v>
      </c>
      <c r="K30" s="14" t="s">
        <v>139</v>
      </c>
      <c r="L30" s="16" t="s">
        <v>139</v>
      </c>
      <c r="M30" s="14">
        <v>0</v>
      </c>
      <c r="N30" s="16">
        <v>0</v>
      </c>
      <c r="O30" s="14">
        <v>0</v>
      </c>
      <c r="P30" s="16">
        <v>0</v>
      </c>
      <c r="Q30" s="14">
        <v>0</v>
      </c>
      <c r="R30" s="16">
        <v>0</v>
      </c>
      <c r="S30" s="14">
        <v>0</v>
      </c>
      <c r="T30" s="16">
        <v>0</v>
      </c>
    </row>
    <row r="31" spans="1:20" x14ac:dyDescent="0.25">
      <c r="A31" s="11" t="s">
        <v>164</v>
      </c>
      <c r="B31" s="13">
        <v>2750</v>
      </c>
      <c r="C31" s="14">
        <f>(2300/B31*100)</f>
        <v>83.636363636363626</v>
      </c>
      <c r="D31" s="15">
        <v>450</v>
      </c>
      <c r="E31" s="14">
        <v>41.089507859999998</v>
      </c>
      <c r="F31" s="16">
        <v>2.1696569800000001</v>
      </c>
      <c r="G31" s="14">
        <v>6.2152249499999996</v>
      </c>
      <c r="H31" s="16">
        <v>0.99438948000000005</v>
      </c>
      <c r="I31" s="14">
        <v>52.695267190000003</v>
      </c>
      <c r="J31" s="16">
        <v>2.3227623300000002</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(3068/B33*100)</f>
        <v>83.505715841045173</v>
      </c>
      <c r="D33" s="15">
        <v>606</v>
      </c>
      <c r="E33" s="14">
        <v>47.842555930000003</v>
      </c>
      <c r="F33" s="16">
        <v>2.3547704199999999</v>
      </c>
      <c r="G33" s="14">
        <v>10.19766239</v>
      </c>
      <c r="H33" s="16">
        <v>1.41643257</v>
      </c>
      <c r="I33" s="14">
        <v>41.95978169</v>
      </c>
      <c r="J33" s="16">
        <v>2.1429103</v>
      </c>
      <c r="K33" s="14" t="s">
        <v>139</v>
      </c>
      <c r="L33" s="16" t="s">
        <v>139</v>
      </c>
      <c r="M33" s="14">
        <v>0</v>
      </c>
      <c r="N33" s="16">
        <v>0</v>
      </c>
      <c r="O33" s="14">
        <v>0</v>
      </c>
      <c r="P33" s="16">
        <v>0</v>
      </c>
      <c r="Q33" s="14">
        <v>0</v>
      </c>
      <c r="R33" s="16">
        <v>0</v>
      </c>
      <c r="S33" s="14">
        <v>0</v>
      </c>
      <c r="T33" s="16">
        <v>0</v>
      </c>
    </row>
    <row r="34" spans="1:20" x14ac:dyDescent="0.25">
      <c r="A34" s="11" t="s">
        <v>167</v>
      </c>
      <c r="B34" s="13">
        <v>3315</v>
      </c>
      <c r="C34" s="14">
        <f>(2773/B34*100)</f>
        <v>83.650075414781298</v>
      </c>
      <c r="D34" s="15">
        <v>542</v>
      </c>
      <c r="E34" s="14">
        <v>62.50014702</v>
      </c>
      <c r="F34" s="16">
        <v>2.0353734499999998</v>
      </c>
      <c r="G34" s="14">
        <v>10.578747119999999</v>
      </c>
      <c r="H34" s="16">
        <v>1.4854764600000001</v>
      </c>
      <c r="I34" s="14">
        <v>26.921105860000001</v>
      </c>
      <c r="J34" s="16">
        <v>1.8635782299999999</v>
      </c>
      <c r="K34" s="14" t="s">
        <v>139</v>
      </c>
      <c r="L34" s="16" t="s">
        <v>139</v>
      </c>
      <c r="M34" s="14">
        <v>0</v>
      </c>
      <c r="N34" s="16">
        <v>0</v>
      </c>
      <c r="O34" s="14">
        <v>0</v>
      </c>
      <c r="P34" s="16">
        <v>0</v>
      </c>
      <c r="Q34" s="14">
        <v>0</v>
      </c>
      <c r="R34" s="16">
        <v>0</v>
      </c>
      <c r="S34" s="14">
        <v>0</v>
      </c>
      <c r="T34" s="16">
        <v>0</v>
      </c>
    </row>
    <row r="35" spans="1:20" x14ac:dyDescent="0.25">
      <c r="A35" s="11" t="s">
        <v>168</v>
      </c>
      <c r="B35" s="13">
        <v>3505</v>
      </c>
      <c r="C35" s="14">
        <f>(2930/B35*100)</f>
        <v>83.594864479315262</v>
      </c>
      <c r="D35" s="15">
        <v>575</v>
      </c>
      <c r="E35" s="14">
        <v>58.290785239999998</v>
      </c>
      <c r="F35" s="16">
        <v>2.6221767699999998</v>
      </c>
      <c r="G35" s="14">
        <v>8.5367329000000005</v>
      </c>
      <c r="H35" s="16">
        <v>1.3889288399999999</v>
      </c>
      <c r="I35" s="14">
        <v>33.172481859999998</v>
      </c>
      <c r="J35" s="16">
        <v>2.48778985</v>
      </c>
      <c r="K35" s="14" t="s">
        <v>139</v>
      </c>
      <c r="L35" s="16" t="s">
        <v>139</v>
      </c>
      <c r="M35" s="14">
        <v>0</v>
      </c>
      <c r="N35" s="16">
        <v>0</v>
      </c>
      <c r="O35" s="14">
        <v>0</v>
      </c>
      <c r="P35" s="16">
        <v>0</v>
      </c>
      <c r="Q35" s="14">
        <v>0</v>
      </c>
      <c r="R35" s="16">
        <v>0</v>
      </c>
      <c r="S35" s="14">
        <v>0</v>
      </c>
      <c r="T35" s="16">
        <v>0</v>
      </c>
    </row>
    <row r="36" spans="1:20" x14ac:dyDescent="0.25">
      <c r="A36" s="11" t="s">
        <v>169</v>
      </c>
      <c r="B36" s="13">
        <v>3332</v>
      </c>
      <c r="C36" s="14">
        <f>(2767/B36*100)</f>
        <v>83.043217286914768</v>
      </c>
      <c r="D36" s="15">
        <v>565</v>
      </c>
      <c r="E36" s="14">
        <v>54.106343170000002</v>
      </c>
      <c r="F36" s="16">
        <v>2.2781369599999999</v>
      </c>
      <c r="G36" s="14">
        <v>11.07072359</v>
      </c>
      <c r="H36" s="16">
        <v>1.45367493</v>
      </c>
      <c r="I36" s="14">
        <v>34.822933239999998</v>
      </c>
      <c r="J36" s="16">
        <v>2.0397349899999999</v>
      </c>
      <c r="K36" s="14" t="s">
        <v>139</v>
      </c>
      <c r="L36" s="16" t="s">
        <v>139</v>
      </c>
      <c r="M36" s="14">
        <v>0</v>
      </c>
      <c r="N36" s="16">
        <v>0</v>
      </c>
      <c r="O36" s="14">
        <v>0</v>
      </c>
      <c r="P36" s="16">
        <v>0</v>
      </c>
      <c r="Q36" s="14">
        <v>0</v>
      </c>
      <c r="R36" s="16">
        <v>0</v>
      </c>
      <c r="S36" s="14">
        <v>0</v>
      </c>
      <c r="T36" s="16">
        <v>0</v>
      </c>
    </row>
    <row r="37" spans="1:20" x14ac:dyDescent="0.25">
      <c r="A37" s="11" t="s">
        <v>170</v>
      </c>
      <c r="B37" s="13">
        <v>2727</v>
      </c>
      <c r="C37" s="14">
        <f>(2291/B37*100)</f>
        <v>84.011734506784009</v>
      </c>
      <c r="D37" s="15">
        <v>436</v>
      </c>
      <c r="E37" s="14">
        <v>42.277832310000001</v>
      </c>
      <c r="F37" s="16">
        <v>2.6202162499999999</v>
      </c>
      <c r="G37" s="14">
        <v>12.46793415</v>
      </c>
      <c r="H37" s="16">
        <v>1.7147003300000001</v>
      </c>
      <c r="I37" s="14">
        <v>45.254233540000001</v>
      </c>
      <c r="J37" s="16">
        <v>2.4227234000000002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61.385875759999998</v>
      </c>
      <c r="F39" s="16">
        <v>2.28153834</v>
      </c>
      <c r="G39" s="14">
        <v>9.8505004700000001</v>
      </c>
      <c r="H39" s="16">
        <v>1.2618555600000001</v>
      </c>
      <c r="I39" s="14">
        <v>28.763623769999999</v>
      </c>
      <c r="J39" s="16">
        <v>1.9019853200000001</v>
      </c>
      <c r="K39" s="14" t="s">
        <v>139</v>
      </c>
      <c r="L39" s="16" t="s">
        <v>139</v>
      </c>
      <c r="M39" s="14">
        <v>0</v>
      </c>
      <c r="N39" s="16">
        <v>0</v>
      </c>
      <c r="O39" s="14">
        <v>0</v>
      </c>
      <c r="P39" s="16">
        <v>0</v>
      </c>
      <c r="Q39" s="14">
        <v>0</v>
      </c>
      <c r="R39" s="16">
        <v>0</v>
      </c>
      <c r="S39" s="14">
        <v>0</v>
      </c>
      <c r="T39" s="16">
        <v>0</v>
      </c>
    </row>
    <row r="40" spans="1:20" x14ac:dyDescent="0.25">
      <c r="A40" s="11" t="s">
        <v>173</v>
      </c>
      <c r="B40" s="13">
        <v>7235</v>
      </c>
      <c r="C40" s="14">
        <f>(6010/B40*100)</f>
        <v>83.068417415342083</v>
      </c>
      <c r="D40" s="15">
        <v>1225</v>
      </c>
      <c r="E40" s="14">
        <v>34.737930110000001</v>
      </c>
      <c r="F40" s="16">
        <v>2.23571769</v>
      </c>
      <c r="G40" s="14">
        <v>10.18769945</v>
      </c>
      <c r="H40" s="16">
        <v>1.2699984799999999</v>
      </c>
      <c r="I40" s="14">
        <v>55.074370440000003</v>
      </c>
      <c r="J40" s="16">
        <v>2.3694470500000002</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(2387/B41*100)</f>
        <v>83.519944016794966</v>
      </c>
      <c r="D41" s="15">
        <v>471</v>
      </c>
      <c r="E41" s="14">
        <v>33.838438670000002</v>
      </c>
      <c r="F41" s="16">
        <v>2.0421923899999999</v>
      </c>
      <c r="G41" s="14">
        <v>11.360966319999999</v>
      </c>
      <c r="H41" s="16">
        <v>1.7487908700000001</v>
      </c>
      <c r="I41" s="14">
        <v>54.800595010000002</v>
      </c>
      <c r="J41" s="16">
        <v>2.4159735800000002</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83.418849594780681</v>
      </c>
      <c r="D42" s="15">
        <f>IF(COUNT(D7:D41) &gt; 0, AVERAGE(D7:D41), "—")</f>
        <v>606.78125</v>
      </c>
      <c r="E42" s="14">
        <f>IF(COUNT(E7:E41) &gt; 0, AVERAGE(E7:E41), "—")</f>
        <v>45.7167422684375</v>
      </c>
      <c r="F42" s="16">
        <f>IF(COUNT(F7:F41) &gt; 0, SQRT(SUMSQ(F7:F41)/(COUNT(F7:F41)*COUNT(F7:F41)) ), "—")</f>
        <v>0.41224253266238364</v>
      </c>
      <c r="G42" s="14">
        <f>IF(COUNT(G7:G41) &gt; 0, AVERAGE(G7:G41), "—")</f>
        <v>11.3957087934375</v>
      </c>
      <c r="H42" s="16">
        <f>IF(COUNT(H7:H41) &gt; 0, SQRT(SUMSQ(H7:H41)/(COUNT(H7:H41)*COUNT(H7:H41)) ), "—")</f>
        <v>0.26729530992533579</v>
      </c>
      <c r="I42" s="14">
        <f>IF(COUNT(I7:I41) &gt; 0, AVERAGE(I7:I41), "—")</f>
        <v>42.887548938437497</v>
      </c>
      <c r="J42" s="16">
        <f>IF(COUNT(J7:J41) &gt; 0, SQRT(SUMSQ(J7:J41)/(COUNT(J7:J41)*COUNT(J7:J41)) ), "—")</f>
        <v>0.40121905460090007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(9619/B46*100)</f>
        <v>86.908203830863755</v>
      </c>
      <c r="D46" s="15">
        <v>1449</v>
      </c>
      <c r="E46" s="14">
        <v>63.719706360000004</v>
      </c>
      <c r="F46" s="16">
        <v>1.8108756699999999</v>
      </c>
      <c r="G46" s="14">
        <v>11.0016631</v>
      </c>
      <c r="H46" s="16">
        <v>1.24319772</v>
      </c>
      <c r="I46" s="14">
        <v>25.278630540000002</v>
      </c>
      <c r="J46" s="16">
        <v>1.5931008600000001</v>
      </c>
      <c r="K46" s="14" t="s">
        <v>139</v>
      </c>
      <c r="L46" s="16" t="s">
        <v>139</v>
      </c>
      <c r="M46" s="14">
        <v>0</v>
      </c>
      <c r="N46" s="16">
        <v>0</v>
      </c>
      <c r="O46" s="14">
        <v>0</v>
      </c>
      <c r="P46" s="16">
        <v>0</v>
      </c>
      <c r="Q46" s="14">
        <v>0</v>
      </c>
      <c r="R46" s="16">
        <v>0</v>
      </c>
      <c r="S46" s="14">
        <v>0</v>
      </c>
      <c r="T46" s="16">
        <v>0</v>
      </c>
    </row>
    <row r="47" spans="1:20" x14ac:dyDescent="0.25">
      <c r="A47" s="11" t="s">
        <v>180</v>
      </c>
      <c r="B47" s="13">
        <v>3105</v>
      </c>
      <c r="C47" s="14">
        <f>(2613/B47*100)</f>
        <v>84.154589371980677</v>
      </c>
      <c r="D47" s="15">
        <v>492</v>
      </c>
      <c r="E47" s="14">
        <v>51.303747680000001</v>
      </c>
      <c r="F47" s="16">
        <v>2.2774629700000002</v>
      </c>
      <c r="G47" s="14">
        <v>10.218442230000001</v>
      </c>
      <c r="H47" s="16">
        <v>1.45492474</v>
      </c>
      <c r="I47" s="14">
        <v>38.477810089999998</v>
      </c>
      <c r="J47" s="16">
        <v>2.2365800999999998</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(4290/B48*100)</f>
        <v>83.155650319829419</v>
      </c>
      <c r="D48" s="15">
        <v>869</v>
      </c>
      <c r="E48" s="14">
        <v>28.932983969999999</v>
      </c>
      <c r="F48" s="16">
        <v>2.0710415100000001</v>
      </c>
      <c r="G48" s="14">
        <v>7.4195630899999996</v>
      </c>
      <c r="H48" s="16">
        <v>1.3807088300000001</v>
      </c>
      <c r="I48" s="14">
        <v>63.647452940000001</v>
      </c>
      <c r="J48" s="16">
        <v>2.2801506900000001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(4699/B50*100)</f>
        <v>83.359943232215713</v>
      </c>
      <c r="D50" s="15">
        <v>938</v>
      </c>
      <c r="E50" s="14">
        <v>70.556147109999998</v>
      </c>
      <c r="F50" s="16">
        <v>1.9008751399999999</v>
      </c>
      <c r="G50" s="14">
        <v>10.41242871</v>
      </c>
      <c r="H50" s="16">
        <v>1.37774609</v>
      </c>
      <c r="I50" s="14">
        <v>19.031424170000001</v>
      </c>
      <c r="J50" s="16">
        <v>1.62770562</v>
      </c>
      <c r="K50" s="14" t="s">
        <v>139</v>
      </c>
      <c r="L50" s="16" t="s">
        <v>139</v>
      </c>
      <c r="M50" s="14">
        <v>0</v>
      </c>
      <c r="N50" s="16">
        <v>0</v>
      </c>
      <c r="O50" s="14">
        <v>0</v>
      </c>
      <c r="P50" s="16">
        <v>0</v>
      </c>
      <c r="Q50" s="14">
        <v>0</v>
      </c>
      <c r="R50" s="16">
        <v>0</v>
      </c>
      <c r="S50" s="14">
        <v>0</v>
      </c>
      <c r="T50" s="16">
        <v>0</v>
      </c>
    </row>
    <row r="51" spans="1:20" x14ac:dyDescent="0.25">
      <c r="A51" s="11" t="s">
        <v>184</v>
      </c>
      <c r="B51" s="13">
        <v>3372</v>
      </c>
      <c r="C51" s="14">
        <f>(2870/B51*100)</f>
        <v>85.112692763938313</v>
      </c>
      <c r="D51" s="15">
        <v>502</v>
      </c>
      <c r="E51" s="14">
        <v>67.025573780000002</v>
      </c>
      <c r="F51" s="16">
        <v>2.2002568500000002</v>
      </c>
      <c r="G51" s="14">
        <v>8.2874750299999995</v>
      </c>
      <c r="H51" s="16">
        <v>1.28146939</v>
      </c>
      <c r="I51" s="14">
        <v>24.686951189999998</v>
      </c>
      <c r="J51" s="16">
        <v>1.8978060999999999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(2343/B52*100)</f>
        <v>83.798283261802581</v>
      </c>
      <c r="D52" s="15">
        <v>453</v>
      </c>
      <c r="E52" s="14">
        <v>51.776624499999997</v>
      </c>
      <c r="F52" s="16">
        <v>2.1848934600000001</v>
      </c>
      <c r="G52" s="14">
        <v>9.2622312000000004</v>
      </c>
      <c r="H52" s="16">
        <v>1.29010398</v>
      </c>
      <c r="I52" s="14">
        <v>38.961144300000001</v>
      </c>
      <c r="J52" s="16">
        <v>2.1701528099999998</v>
      </c>
      <c r="K52" s="14" t="s">
        <v>139</v>
      </c>
      <c r="L52" s="16" t="s">
        <v>139</v>
      </c>
      <c r="M52" s="14">
        <v>0</v>
      </c>
      <c r="N52" s="16">
        <v>0</v>
      </c>
      <c r="O52" s="14">
        <v>0</v>
      </c>
      <c r="P52" s="16">
        <v>0</v>
      </c>
      <c r="Q52" s="14">
        <v>0</v>
      </c>
      <c r="R52" s="16">
        <v>0</v>
      </c>
      <c r="S52" s="14">
        <v>0</v>
      </c>
      <c r="T52" s="16">
        <v>0</v>
      </c>
    </row>
    <row r="53" spans="1:20" x14ac:dyDescent="0.25">
      <c r="A53" s="11" t="s">
        <v>186</v>
      </c>
      <c r="B53" s="13">
        <v>2811</v>
      </c>
      <c r="C53" s="14">
        <f>(2342/B53*100)</f>
        <v>83.315546069014587</v>
      </c>
      <c r="D53" s="15">
        <v>469</v>
      </c>
      <c r="E53" s="14">
        <v>50.562623219999999</v>
      </c>
      <c r="F53" s="16">
        <v>2.5983194900000002</v>
      </c>
      <c r="G53" s="14">
        <v>15.53425275</v>
      </c>
      <c r="H53" s="16">
        <v>1.54868775</v>
      </c>
      <c r="I53" s="14">
        <v>33.903124030000001</v>
      </c>
      <c r="J53" s="16">
        <v>2.3954688200000001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(2244/B56*100)</f>
        <v>83.606557377049185</v>
      </c>
      <c r="D56" s="15">
        <v>440</v>
      </c>
      <c r="E56" s="14">
        <v>16.39497931</v>
      </c>
      <c r="F56" s="16">
        <v>2.3064928500000001</v>
      </c>
      <c r="G56" s="14">
        <v>6.78692224</v>
      </c>
      <c r="H56" s="16">
        <v>1.2372287900000001</v>
      </c>
      <c r="I56" s="14">
        <v>76.818098460000002</v>
      </c>
      <c r="J56" s="16">
        <v>2.8005825199999999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(2784/B61*100)</f>
        <v>83.754512635379058</v>
      </c>
      <c r="D61" s="15">
        <v>540</v>
      </c>
      <c r="E61" s="14">
        <v>59.279168519999999</v>
      </c>
      <c r="F61" s="16">
        <v>2.6438180999999998</v>
      </c>
      <c r="G61" s="14">
        <v>10.782976939999999</v>
      </c>
      <c r="H61" s="16">
        <v>1.37220199</v>
      </c>
      <c r="I61" s="14">
        <v>29.937854529999999</v>
      </c>
      <c r="J61" s="16">
        <v>2.3595742799999999</v>
      </c>
      <c r="K61" s="14" t="s">
        <v>139</v>
      </c>
      <c r="L61" s="16" t="s">
        <v>139</v>
      </c>
      <c r="M61" s="14">
        <v>0</v>
      </c>
      <c r="N61" s="16">
        <v>0</v>
      </c>
      <c r="O61" s="14">
        <v>0</v>
      </c>
      <c r="P61" s="16">
        <v>0</v>
      </c>
      <c r="Q61" s="14">
        <v>0</v>
      </c>
      <c r="R61" s="16">
        <v>0</v>
      </c>
      <c r="S61" s="14">
        <v>0</v>
      </c>
      <c r="T61" s="16">
        <v>0</v>
      </c>
    </row>
    <row r="62" spans="1:20" x14ac:dyDescent="0.25">
      <c r="A62" s="11" t="s">
        <v>195</v>
      </c>
      <c r="B62" s="13">
        <v>2246</v>
      </c>
      <c r="C62" s="14">
        <f>(1850/B62*100)</f>
        <v>82.36865538735529</v>
      </c>
      <c r="D62" s="15">
        <v>396</v>
      </c>
      <c r="E62" s="14">
        <v>24.54009083</v>
      </c>
      <c r="F62" s="16">
        <v>2.22710118</v>
      </c>
      <c r="G62" s="14">
        <v>4.7909107300000002</v>
      </c>
      <c r="H62" s="16">
        <v>1.1400398199999999</v>
      </c>
      <c r="I62" s="14">
        <v>70.668998439999996</v>
      </c>
      <c r="J62" s="16">
        <v>2.2313526399999999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(2445/B66*100)</f>
        <v>84.485141672425712</v>
      </c>
      <c r="D66" s="15">
        <v>449</v>
      </c>
      <c r="E66" s="14">
        <v>67.361107899999993</v>
      </c>
      <c r="F66" s="16">
        <v>2.3932830300000001</v>
      </c>
      <c r="G66" s="14">
        <v>8.9825869399999991</v>
      </c>
      <c r="H66" s="16">
        <v>1.4762395500000001</v>
      </c>
      <c r="I66" s="14">
        <v>23.656305159999999</v>
      </c>
      <c r="J66" s="16">
        <v>2.23621363</v>
      </c>
      <c r="K66" s="14" t="s">
        <v>139</v>
      </c>
      <c r="L66" s="16" t="s">
        <v>139</v>
      </c>
      <c r="M66" s="14">
        <v>0</v>
      </c>
      <c r="N66" s="16">
        <v>0</v>
      </c>
      <c r="O66" s="14">
        <v>0</v>
      </c>
      <c r="P66" s="16">
        <v>0</v>
      </c>
      <c r="Q66" s="14">
        <v>0</v>
      </c>
      <c r="R66" s="16">
        <v>0</v>
      </c>
      <c r="S66" s="14">
        <v>0</v>
      </c>
      <c r="T66" s="16">
        <v>0</v>
      </c>
    </row>
    <row r="67" spans="1:20" x14ac:dyDescent="0.25">
      <c r="A67" s="11" t="s">
        <v>200</v>
      </c>
      <c r="B67" s="13">
        <v>3511</v>
      </c>
      <c r="C67" s="14">
        <f>(2981/B67*100)</f>
        <v>84.904585588151519</v>
      </c>
      <c r="D67" s="15">
        <v>530</v>
      </c>
      <c r="E67" s="14">
        <v>68.367578769999994</v>
      </c>
      <c r="F67" s="16">
        <v>2.1508579700000001</v>
      </c>
      <c r="G67" s="14">
        <v>9.5803203299999993</v>
      </c>
      <c r="H67" s="16">
        <v>1.3027377200000001</v>
      </c>
      <c r="I67" s="14">
        <v>22.052100889999998</v>
      </c>
      <c r="J67" s="16">
        <v>1.7349640500000001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(2445/B70*100)</f>
        <v>83.475588938204169</v>
      </c>
      <c r="D70" s="15">
        <v>484</v>
      </c>
      <c r="E70" s="14">
        <v>53.269846600000001</v>
      </c>
      <c r="F70" s="16">
        <v>2.1415362999999998</v>
      </c>
      <c r="G70" s="14">
        <v>5.0982734699999996</v>
      </c>
      <c r="H70" s="16">
        <v>0.83413174000000001</v>
      </c>
      <c r="I70" s="14">
        <v>41.631879929999997</v>
      </c>
      <c r="J70" s="16">
        <v>2.1183634599999999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27.93312444</v>
      </c>
      <c r="F72" s="16">
        <v>1.96500465</v>
      </c>
      <c r="G72" s="14">
        <v>5.0447313899999999</v>
      </c>
      <c r="H72" s="16">
        <v>0.95883470000000004</v>
      </c>
      <c r="I72" s="14">
        <v>67.022144170000004</v>
      </c>
      <c r="J72" s="16">
        <v>1.8994976800000001</v>
      </c>
      <c r="K72" s="14" t="s">
        <v>139</v>
      </c>
      <c r="L72" s="16" t="s">
        <v>139</v>
      </c>
      <c r="M72" s="14">
        <v>0</v>
      </c>
      <c r="N72" s="16">
        <v>0</v>
      </c>
      <c r="O72" s="14">
        <v>0</v>
      </c>
      <c r="P72" s="16">
        <v>0</v>
      </c>
      <c r="Q72" s="14">
        <v>0</v>
      </c>
      <c r="R72" s="16">
        <v>0</v>
      </c>
      <c r="S72" s="14">
        <v>0</v>
      </c>
      <c r="T72" s="16">
        <v>0</v>
      </c>
    </row>
    <row r="73" spans="1:20" x14ac:dyDescent="0.25">
      <c r="A73" s="11" t="s">
        <v>206</v>
      </c>
      <c r="B73" s="13">
        <v>3597</v>
      </c>
      <c r="C73" s="14">
        <f>(3003/B73*100)</f>
        <v>83.486238532110093</v>
      </c>
      <c r="D73" s="15">
        <v>594</v>
      </c>
      <c r="E73" s="14">
        <v>52.497209009999999</v>
      </c>
      <c r="F73" s="16">
        <v>2.7831535700000001</v>
      </c>
      <c r="G73" s="14">
        <v>19.365499839999998</v>
      </c>
      <c r="H73" s="16">
        <v>1.7758738599999999</v>
      </c>
      <c r="I73" s="14">
        <v>28.137291139999999</v>
      </c>
      <c r="J73" s="16">
        <v>2.6881837200000001</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(2046/B75*100)</f>
        <v>85.037406483790519</v>
      </c>
      <c r="D75" s="15">
        <v>360</v>
      </c>
      <c r="E75" s="14">
        <v>73.737779689999996</v>
      </c>
      <c r="F75" s="16">
        <v>2.52328332</v>
      </c>
      <c r="G75" s="14">
        <v>6.4993807800000001</v>
      </c>
      <c r="H75" s="16">
        <v>1.64234054</v>
      </c>
      <c r="I75" s="14">
        <v>19.762839530000001</v>
      </c>
      <c r="J75" s="16">
        <v>2.16259398</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(5868/B76*100)</f>
        <v>83.210436755530353</v>
      </c>
      <c r="D76" s="15">
        <v>1184</v>
      </c>
      <c r="E76" s="14">
        <v>51.463124270000002</v>
      </c>
      <c r="F76" s="16">
        <v>1.64684177</v>
      </c>
      <c r="G76" s="14">
        <v>9.4281968999999997</v>
      </c>
      <c r="H76" s="16">
        <v>0.85439277999999996</v>
      </c>
      <c r="I76" s="14">
        <v>39.108678830000002</v>
      </c>
      <c r="J76" s="16">
        <v>1.7471470499999999</v>
      </c>
      <c r="K76" s="14" t="s">
        <v>139</v>
      </c>
      <c r="L76" s="16" t="s">
        <v>139</v>
      </c>
      <c r="M76" s="14">
        <v>0</v>
      </c>
      <c r="N76" s="16">
        <v>0</v>
      </c>
      <c r="O76" s="14">
        <v>0</v>
      </c>
      <c r="P76" s="16">
        <v>0</v>
      </c>
      <c r="Q76" s="14">
        <v>0</v>
      </c>
      <c r="R76" s="16">
        <v>0</v>
      </c>
      <c r="S76" s="14">
        <v>0</v>
      </c>
      <c r="T76" s="16">
        <v>0</v>
      </c>
    </row>
    <row r="77" spans="1:20" x14ac:dyDescent="0.25">
      <c r="A77" s="11" t="s">
        <v>210</v>
      </c>
      <c r="B77" s="13">
        <v>2908</v>
      </c>
      <c r="C77" s="14">
        <f>(2466/B77*100)</f>
        <v>84.800550206327372</v>
      </c>
      <c r="D77" s="15">
        <v>442</v>
      </c>
      <c r="E77" s="14">
        <v>67.241804160000001</v>
      </c>
      <c r="F77" s="16">
        <v>2.6622306199999999</v>
      </c>
      <c r="G77" s="14">
        <v>9.5121952099999998</v>
      </c>
      <c r="H77" s="16">
        <v>1.58094946</v>
      </c>
      <c r="I77" s="14">
        <v>23.246000630000001</v>
      </c>
      <c r="J77" s="16">
        <v>2.3448452899999999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(3457/B81*100)</f>
        <v>83.041076147009363</v>
      </c>
      <c r="D81" s="15">
        <v>706</v>
      </c>
      <c r="E81" s="14">
        <v>44.844399639999999</v>
      </c>
      <c r="F81" s="16">
        <v>2.2913486600000001</v>
      </c>
      <c r="G81" s="14">
        <v>8.5494225200000002</v>
      </c>
      <c r="H81" s="16">
        <v>1.2314536700000001</v>
      </c>
      <c r="I81" s="14">
        <v>46.606177840000001</v>
      </c>
      <c r="J81" s="16">
        <v>2.4846855900000002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316</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230</v>
      </c>
      <c r="F4" s="24"/>
      <c r="G4" s="23" t="s">
        <v>231</v>
      </c>
      <c r="H4" s="24"/>
      <c r="I4" s="23" t="s">
        <v>232</v>
      </c>
      <c r="J4" s="24"/>
      <c r="K4" s="23" t="s">
        <v>233</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(6156/B7*100)</f>
        <v>83.561829781457845</v>
      </c>
      <c r="D7" s="15">
        <v>1211</v>
      </c>
      <c r="E7" s="14">
        <v>33.022301759999998</v>
      </c>
      <c r="F7" s="16">
        <v>1.52534967</v>
      </c>
      <c r="G7" s="14">
        <v>18.597767399999999</v>
      </c>
      <c r="H7" s="16">
        <v>1.2378794</v>
      </c>
      <c r="I7" s="14">
        <v>28.988456159999998</v>
      </c>
      <c r="J7" s="16">
        <v>1.6729841999999999</v>
      </c>
      <c r="K7" s="14">
        <v>19.391474680000002</v>
      </c>
      <c r="L7" s="16">
        <v>1.37157595</v>
      </c>
      <c r="M7" s="14" t="s">
        <v>139</v>
      </c>
      <c r="N7" s="16" t="s">
        <v>139</v>
      </c>
      <c r="O7" s="14">
        <v>0</v>
      </c>
      <c r="P7" s="16">
        <v>0</v>
      </c>
      <c r="Q7" s="14">
        <v>0</v>
      </c>
      <c r="R7" s="16">
        <v>0</v>
      </c>
      <c r="S7" s="14">
        <v>0</v>
      </c>
      <c r="T7" s="16">
        <v>0</v>
      </c>
      <c r="U7" s="14">
        <v>0</v>
      </c>
      <c r="V7" s="16">
        <v>0</v>
      </c>
    </row>
    <row r="8" spans="1:22" x14ac:dyDescent="0.25">
      <c r="A8" s="11" t="s">
        <v>140</v>
      </c>
      <c r="B8" s="13">
        <v>3564</v>
      </c>
      <c r="C8" s="14">
        <f>(2953/B8*100)</f>
        <v>82.856341189674524</v>
      </c>
      <c r="D8" s="15">
        <v>611</v>
      </c>
      <c r="E8" s="14">
        <v>31.954320209999999</v>
      </c>
      <c r="F8" s="16">
        <v>2.11748738</v>
      </c>
      <c r="G8" s="14">
        <v>20.447210980000001</v>
      </c>
      <c r="H8" s="16">
        <v>1.6145150399999999</v>
      </c>
      <c r="I8" s="14">
        <v>27.469005169999999</v>
      </c>
      <c r="J8" s="16">
        <v>1.8896713000000001</v>
      </c>
      <c r="K8" s="14">
        <v>20.129463650000002</v>
      </c>
      <c r="L8" s="16">
        <v>1.59050516</v>
      </c>
      <c r="M8" s="14" t="s">
        <v>139</v>
      </c>
      <c r="N8" s="16" t="s">
        <v>139</v>
      </c>
      <c r="O8" s="14">
        <v>0</v>
      </c>
      <c r="P8" s="16">
        <v>0</v>
      </c>
      <c r="Q8" s="14">
        <v>0</v>
      </c>
      <c r="R8" s="16">
        <v>0</v>
      </c>
      <c r="S8" s="14">
        <v>0</v>
      </c>
      <c r="T8" s="16">
        <v>0</v>
      </c>
      <c r="U8" s="14">
        <v>0</v>
      </c>
      <c r="V8" s="16">
        <v>0</v>
      </c>
    </row>
    <row r="9" spans="1:22" x14ac:dyDescent="0.25">
      <c r="A9" s="11" t="s">
        <v>141</v>
      </c>
      <c r="B9" s="13">
        <v>4899</v>
      </c>
      <c r="C9" s="14">
        <f>(4101/B9*100)</f>
        <v>83.710961420698098</v>
      </c>
      <c r="D9" s="15">
        <v>798</v>
      </c>
      <c r="E9" s="14">
        <v>41.186585399999998</v>
      </c>
      <c r="F9" s="16">
        <v>1.9695923099999999</v>
      </c>
      <c r="G9" s="14">
        <v>15.66660456</v>
      </c>
      <c r="H9" s="16">
        <v>1.3122573900000001</v>
      </c>
      <c r="I9" s="14">
        <v>28.78548662</v>
      </c>
      <c r="J9" s="16">
        <v>1.65790818</v>
      </c>
      <c r="K9" s="14">
        <v>14.36132342</v>
      </c>
      <c r="L9" s="16">
        <v>1.33872893</v>
      </c>
      <c r="M9" s="14" t="s">
        <v>139</v>
      </c>
      <c r="N9" s="16" t="s">
        <v>139</v>
      </c>
      <c r="O9" s="14">
        <v>0</v>
      </c>
      <c r="P9" s="16">
        <v>0</v>
      </c>
      <c r="Q9" s="14">
        <v>0</v>
      </c>
      <c r="R9" s="16">
        <v>0</v>
      </c>
      <c r="S9" s="14">
        <v>0</v>
      </c>
      <c r="T9" s="16">
        <v>0</v>
      </c>
      <c r="U9" s="14">
        <v>0</v>
      </c>
      <c r="V9" s="16">
        <v>0</v>
      </c>
    </row>
    <row r="10" spans="1:22" x14ac:dyDescent="0.25">
      <c r="A10" s="11" t="s">
        <v>142</v>
      </c>
      <c r="B10" s="13">
        <v>10036</v>
      </c>
      <c r="C10" s="14">
        <f>(8359/B10*100)</f>
        <v>83.290155440414509</v>
      </c>
      <c r="D10" s="15">
        <v>1677</v>
      </c>
      <c r="E10" s="14">
        <v>37.306171159999998</v>
      </c>
      <c r="F10" s="16">
        <v>1.39925531</v>
      </c>
      <c r="G10" s="14">
        <v>18.512210570000001</v>
      </c>
      <c r="H10" s="16">
        <v>1.2053650199999999</v>
      </c>
      <c r="I10" s="14">
        <v>27.954294569999998</v>
      </c>
      <c r="J10" s="16">
        <v>1.7273990699999999</v>
      </c>
      <c r="K10" s="14">
        <v>16.22732371</v>
      </c>
      <c r="L10" s="16">
        <v>1.3493581699999999</v>
      </c>
      <c r="M10" s="14" t="s">
        <v>139</v>
      </c>
      <c r="N10" s="16" t="s">
        <v>139</v>
      </c>
      <c r="O10" s="14">
        <v>0</v>
      </c>
      <c r="P10" s="16">
        <v>0</v>
      </c>
      <c r="Q10" s="14">
        <v>0</v>
      </c>
      <c r="R10" s="16">
        <v>0</v>
      </c>
      <c r="S10" s="14">
        <v>0</v>
      </c>
      <c r="T10" s="16">
        <v>0</v>
      </c>
      <c r="U10" s="14">
        <v>0</v>
      </c>
      <c r="V10" s="16">
        <v>0</v>
      </c>
    </row>
    <row r="11" spans="1:22" x14ac:dyDescent="0.25">
      <c r="A11" s="11" t="s">
        <v>143</v>
      </c>
      <c r="B11" s="13">
        <v>3553</v>
      </c>
      <c r="C11" s="14">
        <f>(2964/B11*100)</f>
        <v>83.422459893048128</v>
      </c>
      <c r="D11" s="15">
        <v>589</v>
      </c>
      <c r="E11" s="14">
        <v>71.486800669999994</v>
      </c>
      <c r="F11" s="16">
        <v>2.0782454399999999</v>
      </c>
      <c r="G11" s="14">
        <v>9.5740037600000001</v>
      </c>
      <c r="H11" s="16">
        <v>1.38908264</v>
      </c>
      <c r="I11" s="14">
        <v>11.507920889999999</v>
      </c>
      <c r="J11" s="16">
        <v>1.38840115</v>
      </c>
      <c r="K11" s="14">
        <v>7.4312746799999996</v>
      </c>
      <c r="L11" s="16">
        <v>1.3152177899999999</v>
      </c>
      <c r="M11" s="14" t="s">
        <v>139</v>
      </c>
      <c r="N11" s="16" t="s">
        <v>139</v>
      </c>
      <c r="O11" s="14">
        <v>0</v>
      </c>
      <c r="P11" s="16">
        <v>0</v>
      </c>
      <c r="Q11" s="14">
        <v>0</v>
      </c>
      <c r="R11" s="16">
        <v>0</v>
      </c>
      <c r="S11" s="14">
        <v>0</v>
      </c>
      <c r="T11" s="16">
        <v>0</v>
      </c>
      <c r="U11" s="14">
        <v>0</v>
      </c>
      <c r="V11" s="16">
        <v>0</v>
      </c>
    </row>
    <row r="12" spans="1:22" x14ac:dyDescent="0.25">
      <c r="A12" s="11" t="s">
        <v>144</v>
      </c>
      <c r="B12" s="13">
        <v>3472</v>
      </c>
      <c r="C12" s="14">
        <f>(2865/B12*100)</f>
        <v>82.517281105990776</v>
      </c>
      <c r="D12" s="15">
        <v>607</v>
      </c>
      <c r="E12" s="14">
        <v>45.216433389999999</v>
      </c>
      <c r="F12" s="16">
        <v>2.4968143999999999</v>
      </c>
      <c r="G12" s="14">
        <v>18.73488845</v>
      </c>
      <c r="H12" s="16">
        <v>1.5959860800000001</v>
      </c>
      <c r="I12" s="14">
        <v>23.684413859999999</v>
      </c>
      <c r="J12" s="16">
        <v>2.2049116999999998</v>
      </c>
      <c r="K12" s="14">
        <v>12.3642643</v>
      </c>
      <c r="L12" s="16">
        <v>1.5359896200000001</v>
      </c>
      <c r="M12" s="14" t="s">
        <v>139</v>
      </c>
      <c r="N12" s="16" t="s">
        <v>139</v>
      </c>
      <c r="O12" s="14">
        <v>0</v>
      </c>
      <c r="P12" s="16">
        <v>0</v>
      </c>
      <c r="Q12" s="14">
        <v>0</v>
      </c>
      <c r="R12" s="16">
        <v>0</v>
      </c>
      <c r="S12" s="14">
        <v>0</v>
      </c>
      <c r="T12" s="16">
        <v>0</v>
      </c>
      <c r="U12" s="14">
        <v>0</v>
      </c>
      <c r="V12" s="16">
        <v>0</v>
      </c>
    </row>
    <row r="13" spans="1:22" x14ac:dyDescent="0.25">
      <c r="A13" s="11" t="s">
        <v>145</v>
      </c>
      <c r="B13" s="13">
        <v>3559</v>
      </c>
      <c r="C13" s="14">
        <f>(3005/B13*100)</f>
        <v>84.433829727451524</v>
      </c>
      <c r="D13" s="15">
        <v>554</v>
      </c>
      <c r="E13" s="14">
        <v>47.191339210000002</v>
      </c>
      <c r="F13" s="16">
        <v>2.74284551</v>
      </c>
      <c r="G13" s="14">
        <v>18.063049750000001</v>
      </c>
      <c r="H13" s="16">
        <v>1.8895120400000001</v>
      </c>
      <c r="I13" s="14">
        <v>23.052632710000001</v>
      </c>
      <c r="J13" s="16">
        <v>2.0913580700000001</v>
      </c>
      <c r="K13" s="14">
        <v>11.692978330000001</v>
      </c>
      <c r="L13" s="16">
        <v>1.65554913</v>
      </c>
      <c r="M13" s="14" t="s">
        <v>139</v>
      </c>
      <c r="N13" s="16" t="s">
        <v>139</v>
      </c>
      <c r="O13" s="14">
        <v>0</v>
      </c>
      <c r="P13" s="16">
        <v>0</v>
      </c>
      <c r="Q13" s="14">
        <v>0</v>
      </c>
      <c r="R13" s="16">
        <v>0</v>
      </c>
      <c r="S13" s="14">
        <v>0</v>
      </c>
      <c r="T13" s="16">
        <v>0</v>
      </c>
      <c r="U13" s="14">
        <v>0</v>
      </c>
      <c r="V13" s="16">
        <v>0</v>
      </c>
    </row>
    <row r="14" spans="1:22" x14ac:dyDescent="0.25">
      <c r="A14" s="11" t="s">
        <v>146</v>
      </c>
      <c r="B14" s="13">
        <v>2799</v>
      </c>
      <c r="C14" s="14">
        <f>(2321/B14*100)</f>
        <v>82.922472311539835</v>
      </c>
      <c r="D14" s="15">
        <v>478</v>
      </c>
      <c r="E14" s="14">
        <v>34.31345091</v>
      </c>
      <c r="F14" s="16">
        <v>2.8105129299999998</v>
      </c>
      <c r="G14" s="14">
        <v>19.431951699999999</v>
      </c>
      <c r="H14" s="16">
        <v>2.0750235300000002</v>
      </c>
      <c r="I14" s="14">
        <v>26.67059574</v>
      </c>
      <c r="J14" s="16">
        <v>2.2908499400000002</v>
      </c>
      <c r="K14" s="14">
        <v>19.584001650000001</v>
      </c>
      <c r="L14" s="16">
        <v>1.7493129000000001</v>
      </c>
      <c r="M14" s="14" t="s">
        <v>139</v>
      </c>
      <c r="N14" s="16" t="s">
        <v>139</v>
      </c>
      <c r="O14" s="14">
        <v>0</v>
      </c>
      <c r="P14" s="16">
        <v>0</v>
      </c>
      <c r="Q14" s="14">
        <v>0</v>
      </c>
      <c r="R14" s="16">
        <v>0</v>
      </c>
      <c r="S14" s="14">
        <v>0</v>
      </c>
      <c r="T14" s="16">
        <v>0</v>
      </c>
      <c r="U14" s="14">
        <v>0</v>
      </c>
      <c r="V14" s="16">
        <v>0</v>
      </c>
    </row>
    <row r="15" spans="1:22" x14ac:dyDescent="0.25">
      <c r="A15" s="11" t="s">
        <v>147</v>
      </c>
      <c r="B15" s="13">
        <v>3019</v>
      </c>
      <c r="C15" s="14">
        <f>(2509/B15*100)</f>
        <v>83.10698906922822</v>
      </c>
      <c r="D15" s="15">
        <v>510</v>
      </c>
      <c r="E15" s="14">
        <v>27.97873104</v>
      </c>
      <c r="F15" s="16">
        <v>2.1926213200000002</v>
      </c>
      <c r="G15" s="14">
        <v>19.754683310000001</v>
      </c>
      <c r="H15" s="16">
        <v>1.9126918799999999</v>
      </c>
      <c r="I15" s="14">
        <v>23.642555689999998</v>
      </c>
      <c r="J15" s="16">
        <v>1.86255913</v>
      </c>
      <c r="K15" s="14">
        <v>28.624029969999999</v>
      </c>
      <c r="L15" s="16">
        <v>1.94508572</v>
      </c>
      <c r="M15" s="14" t="s">
        <v>139</v>
      </c>
      <c r="N15" s="16" t="s">
        <v>139</v>
      </c>
      <c r="O15" s="14">
        <v>0</v>
      </c>
      <c r="P15" s="16">
        <v>0</v>
      </c>
      <c r="Q15" s="14">
        <v>0</v>
      </c>
      <c r="R15" s="16">
        <v>0</v>
      </c>
      <c r="S15" s="14">
        <v>0</v>
      </c>
      <c r="T15" s="16">
        <v>0</v>
      </c>
      <c r="U15" s="14">
        <v>0</v>
      </c>
      <c r="V15" s="16">
        <v>0</v>
      </c>
    </row>
    <row r="16" spans="1:22" x14ac:dyDescent="0.25">
      <c r="A16" s="11" t="s">
        <v>148</v>
      </c>
      <c r="B16" s="13">
        <v>2997</v>
      </c>
      <c r="C16" s="14">
        <f>(2517/B16*100)</f>
        <v>83.983983983983975</v>
      </c>
      <c r="D16" s="15">
        <v>480</v>
      </c>
      <c r="E16" s="14">
        <v>46.647992469999998</v>
      </c>
      <c r="F16" s="16">
        <v>2.1642641199999999</v>
      </c>
      <c r="G16" s="14">
        <v>17.058440470000001</v>
      </c>
      <c r="H16" s="16">
        <v>1.7967571499999999</v>
      </c>
      <c r="I16" s="14">
        <v>22.984312110000001</v>
      </c>
      <c r="J16" s="16">
        <v>1.8545337500000001</v>
      </c>
      <c r="K16" s="14">
        <v>13.30925495</v>
      </c>
      <c r="L16" s="16">
        <v>1.7278608900000001</v>
      </c>
      <c r="M16" s="14" t="s">
        <v>139</v>
      </c>
      <c r="N16" s="16" t="s">
        <v>139</v>
      </c>
      <c r="O16" s="14">
        <v>0</v>
      </c>
      <c r="P16" s="16">
        <v>0</v>
      </c>
      <c r="Q16" s="14">
        <v>0</v>
      </c>
      <c r="R16" s="16">
        <v>0</v>
      </c>
      <c r="S16" s="14">
        <v>0</v>
      </c>
      <c r="T16" s="16">
        <v>0</v>
      </c>
      <c r="U16" s="14">
        <v>0</v>
      </c>
      <c r="V16" s="16">
        <v>0</v>
      </c>
    </row>
    <row r="17" spans="1:22" x14ac:dyDescent="0.25">
      <c r="A17" s="11" t="s">
        <v>149</v>
      </c>
      <c r="B17" s="13">
        <v>3307</v>
      </c>
      <c r="C17" s="14">
        <f>(2793/B17*100)</f>
        <v>84.457211974599332</v>
      </c>
      <c r="D17" s="15">
        <v>514</v>
      </c>
      <c r="E17" s="14">
        <v>32.988719089999996</v>
      </c>
      <c r="F17" s="16">
        <v>2.6041666499999998</v>
      </c>
      <c r="G17" s="14">
        <v>21.947527440000002</v>
      </c>
      <c r="H17" s="16">
        <v>2.1002673000000001</v>
      </c>
      <c r="I17" s="14">
        <v>25.13130262</v>
      </c>
      <c r="J17" s="16">
        <v>2.3378507100000001</v>
      </c>
      <c r="K17" s="14">
        <v>19.932450840000001</v>
      </c>
      <c r="L17" s="16">
        <v>1.6017551000000001</v>
      </c>
      <c r="M17" s="14" t="s">
        <v>139</v>
      </c>
      <c r="N17" s="16" t="s">
        <v>139</v>
      </c>
      <c r="O17" s="14">
        <v>0</v>
      </c>
      <c r="P17" s="16">
        <v>0</v>
      </c>
      <c r="Q17" s="14">
        <v>0</v>
      </c>
      <c r="R17" s="16">
        <v>0</v>
      </c>
      <c r="S17" s="14">
        <v>0</v>
      </c>
      <c r="T17" s="16">
        <v>0</v>
      </c>
      <c r="U17" s="14">
        <v>0</v>
      </c>
      <c r="V17" s="16">
        <v>0</v>
      </c>
    </row>
    <row r="18" spans="1:22" x14ac:dyDescent="0.25">
      <c r="A18" s="11" t="s">
        <v>150</v>
      </c>
      <c r="B18" s="13">
        <v>2826</v>
      </c>
      <c r="C18" s="14">
        <f>(2348/B18*100)</f>
        <v>83.08563340410474</v>
      </c>
      <c r="D18" s="15">
        <v>478</v>
      </c>
      <c r="E18" s="14">
        <v>59.238903890000003</v>
      </c>
      <c r="F18" s="16">
        <v>2.9414119699999999</v>
      </c>
      <c r="G18" s="14">
        <v>14.77455851</v>
      </c>
      <c r="H18" s="16">
        <v>1.83069354</v>
      </c>
      <c r="I18" s="14">
        <v>18.33826496</v>
      </c>
      <c r="J18" s="16">
        <v>1.9334846699999999</v>
      </c>
      <c r="K18" s="14">
        <v>7.6482726400000001</v>
      </c>
      <c r="L18" s="16">
        <v>1.33035978</v>
      </c>
      <c r="M18" s="14" t="s">
        <v>139</v>
      </c>
      <c r="N18" s="16" t="s">
        <v>139</v>
      </c>
      <c r="O18" s="14">
        <v>0</v>
      </c>
      <c r="P18" s="16">
        <v>0</v>
      </c>
      <c r="Q18" s="14">
        <v>0</v>
      </c>
      <c r="R18" s="16">
        <v>0</v>
      </c>
      <c r="S18" s="14">
        <v>0</v>
      </c>
      <c r="T18" s="16">
        <v>0</v>
      </c>
      <c r="U18" s="14">
        <v>0</v>
      </c>
      <c r="V18" s="16">
        <v>0</v>
      </c>
    </row>
    <row r="19" spans="1:22" x14ac:dyDescent="0.25">
      <c r="A19" s="11" t="s">
        <v>151</v>
      </c>
      <c r="B19" s="13">
        <v>2808</v>
      </c>
      <c r="C19" s="14">
        <f>(2341/B19*100)</f>
        <v>83.368945868945872</v>
      </c>
      <c r="D19" s="15">
        <v>467</v>
      </c>
      <c r="E19" s="14">
        <v>43.750664579999999</v>
      </c>
      <c r="F19" s="16">
        <v>3.08697782</v>
      </c>
      <c r="G19" s="14">
        <v>19.238062330000002</v>
      </c>
      <c r="H19" s="16">
        <v>2.1977249599999999</v>
      </c>
      <c r="I19" s="14">
        <v>24.43136449</v>
      </c>
      <c r="J19" s="16">
        <v>2.2397798500000001</v>
      </c>
      <c r="K19" s="14">
        <v>12.5799086</v>
      </c>
      <c r="L19" s="16">
        <v>1.6057127200000001</v>
      </c>
      <c r="M19" s="14" t="s">
        <v>139</v>
      </c>
      <c r="N19" s="16" t="s">
        <v>139</v>
      </c>
      <c r="O19" s="14">
        <v>0</v>
      </c>
      <c r="P19" s="16">
        <v>0</v>
      </c>
      <c r="Q19" s="14">
        <v>0</v>
      </c>
      <c r="R19" s="16">
        <v>0</v>
      </c>
      <c r="S19" s="14">
        <v>0</v>
      </c>
      <c r="T19" s="16">
        <v>0</v>
      </c>
      <c r="U19" s="14">
        <v>0</v>
      </c>
      <c r="V19" s="16">
        <v>0</v>
      </c>
    </row>
    <row r="20" spans="1:22" x14ac:dyDescent="0.25">
      <c r="A20" s="11" t="s">
        <v>152</v>
      </c>
      <c r="B20" s="13">
        <v>1630</v>
      </c>
      <c r="C20" s="14">
        <f>(1364/B20*100)</f>
        <v>83.680981595092035</v>
      </c>
      <c r="D20" s="15">
        <v>266</v>
      </c>
      <c r="E20" s="14">
        <v>54.901209229999999</v>
      </c>
      <c r="F20" s="16">
        <v>3.0608839699999999</v>
      </c>
      <c r="G20" s="14">
        <v>15.392862729999999</v>
      </c>
      <c r="H20" s="16">
        <v>2.1454463100000001</v>
      </c>
      <c r="I20" s="14">
        <v>18.13173707</v>
      </c>
      <c r="J20" s="16">
        <v>2.5096406199999999</v>
      </c>
      <c r="K20" s="14">
        <v>11.57419097</v>
      </c>
      <c r="L20" s="16">
        <v>1.8853531400000001</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(2446/B22*100)</f>
        <v>83.452746502900027</v>
      </c>
      <c r="D22" s="15">
        <v>485</v>
      </c>
      <c r="E22" s="14">
        <v>47.332057929999998</v>
      </c>
      <c r="F22" s="16">
        <v>2.4384048599999999</v>
      </c>
      <c r="G22" s="14">
        <v>15.8770126</v>
      </c>
      <c r="H22" s="16">
        <v>1.76740254</v>
      </c>
      <c r="I22" s="14">
        <v>22.40177401</v>
      </c>
      <c r="J22" s="16">
        <v>1.82456207</v>
      </c>
      <c r="K22" s="14">
        <v>14.389155450000001</v>
      </c>
      <c r="L22" s="16">
        <v>1.72118389</v>
      </c>
      <c r="M22" s="14" t="s">
        <v>139</v>
      </c>
      <c r="N22" s="16" t="s">
        <v>139</v>
      </c>
      <c r="O22" s="14">
        <v>0</v>
      </c>
      <c r="P22" s="16">
        <v>0</v>
      </c>
      <c r="Q22" s="14">
        <v>0</v>
      </c>
      <c r="R22" s="16">
        <v>0</v>
      </c>
      <c r="S22" s="14">
        <v>0</v>
      </c>
      <c r="T22" s="16">
        <v>0</v>
      </c>
      <c r="U22" s="14">
        <v>0</v>
      </c>
      <c r="V22" s="16">
        <v>0</v>
      </c>
    </row>
    <row r="23" spans="1:22" x14ac:dyDescent="0.25">
      <c r="A23" s="11" t="s">
        <v>156</v>
      </c>
      <c r="B23" s="13">
        <v>5791</v>
      </c>
      <c r="C23" s="14">
        <f>(4797/B23*100)</f>
        <v>82.835434294595061</v>
      </c>
      <c r="D23" s="15">
        <v>994</v>
      </c>
      <c r="E23" s="14">
        <v>44.396735679999999</v>
      </c>
      <c r="F23" s="16">
        <v>2.2793912000000001</v>
      </c>
      <c r="G23" s="14">
        <v>20.715842030000001</v>
      </c>
      <c r="H23" s="16">
        <v>1.7543186900000001</v>
      </c>
      <c r="I23" s="14">
        <v>21.883109319999999</v>
      </c>
      <c r="J23" s="16">
        <v>1.72849853</v>
      </c>
      <c r="K23" s="14">
        <v>13.004312970000001</v>
      </c>
      <c r="L23" s="16">
        <v>1.12503274</v>
      </c>
      <c r="M23" s="14" t="s">
        <v>139</v>
      </c>
      <c r="N23" s="16" t="s">
        <v>139</v>
      </c>
      <c r="O23" s="14">
        <v>0</v>
      </c>
      <c r="P23" s="16">
        <v>0</v>
      </c>
      <c r="Q23" s="14">
        <v>0</v>
      </c>
      <c r="R23" s="16">
        <v>0</v>
      </c>
      <c r="S23" s="14">
        <v>0</v>
      </c>
      <c r="T23" s="16">
        <v>0</v>
      </c>
      <c r="U23" s="14">
        <v>0</v>
      </c>
      <c r="V23" s="16">
        <v>0</v>
      </c>
    </row>
    <row r="24" spans="1:22" x14ac:dyDescent="0.25">
      <c r="A24" s="11" t="s">
        <v>157</v>
      </c>
      <c r="B24" s="13">
        <v>3338</v>
      </c>
      <c r="C24" s="14">
        <f>(2777/B24*100)</f>
        <v>83.193529059316944</v>
      </c>
      <c r="D24" s="15">
        <v>561</v>
      </c>
      <c r="E24" s="14">
        <v>19.45561322</v>
      </c>
      <c r="F24" s="16">
        <v>1.64383671</v>
      </c>
      <c r="G24" s="14">
        <v>20.750283400000001</v>
      </c>
      <c r="H24" s="16">
        <v>1.7774376300000001</v>
      </c>
      <c r="I24" s="14">
        <v>24.224176580000002</v>
      </c>
      <c r="J24" s="16">
        <v>1.9466973599999999</v>
      </c>
      <c r="K24" s="14">
        <v>35.569926809999998</v>
      </c>
      <c r="L24" s="16">
        <v>1.88399202</v>
      </c>
      <c r="M24" s="14" t="s">
        <v>139</v>
      </c>
      <c r="N24" s="16" t="s">
        <v>139</v>
      </c>
      <c r="O24" s="14">
        <v>0</v>
      </c>
      <c r="P24" s="16">
        <v>0</v>
      </c>
      <c r="Q24" s="14">
        <v>0</v>
      </c>
      <c r="R24" s="16">
        <v>0</v>
      </c>
      <c r="S24" s="14">
        <v>0</v>
      </c>
      <c r="T24" s="16">
        <v>0</v>
      </c>
      <c r="U24" s="14">
        <v>0</v>
      </c>
      <c r="V24" s="16">
        <v>0</v>
      </c>
    </row>
    <row r="25" spans="1:22" x14ac:dyDescent="0.25">
      <c r="A25" s="11" t="s">
        <v>158</v>
      </c>
      <c r="B25" s="13">
        <v>2912</v>
      </c>
      <c r="C25" s="14">
        <f>(2409/B25*100)</f>
        <v>82.72664835164835</v>
      </c>
      <c r="D25" s="15">
        <v>503</v>
      </c>
      <c r="E25" s="14">
        <v>14.85193011</v>
      </c>
      <c r="F25" s="16">
        <v>1.5127188600000001</v>
      </c>
      <c r="G25" s="14">
        <v>20.68171306</v>
      </c>
      <c r="H25" s="16">
        <v>1.6099765699999999</v>
      </c>
      <c r="I25" s="14">
        <v>41.173926039999998</v>
      </c>
      <c r="J25" s="16">
        <v>1.72815195</v>
      </c>
      <c r="K25" s="14">
        <v>23.292430790000001</v>
      </c>
      <c r="L25" s="16">
        <v>1.8912356299999999</v>
      </c>
      <c r="M25" s="14" t="s">
        <v>139</v>
      </c>
      <c r="N25" s="16" t="s">
        <v>139</v>
      </c>
      <c r="O25" s="14">
        <v>0</v>
      </c>
      <c r="P25" s="16">
        <v>0</v>
      </c>
      <c r="Q25" s="14">
        <v>0</v>
      </c>
      <c r="R25" s="16">
        <v>0</v>
      </c>
      <c r="S25" s="14">
        <v>0</v>
      </c>
      <c r="T25" s="16">
        <v>0</v>
      </c>
      <c r="U25" s="14">
        <v>0</v>
      </c>
      <c r="V25" s="16">
        <v>0</v>
      </c>
    </row>
    <row r="26" spans="1:22" x14ac:dyDescent="0.25">
      <c r="A26" s="11" t="s">
        <v>159</v>
      </c>
      <c r="B26" s="13">
        <v>2450</v>
      </c>
      <c r="C26" s="14">
        <f>(2044/B26*100)</f>
        <v>83.428571428571431</v>
      </c>
      <c r="D26" s="15">
        <v>406</v>
      </c>
      <c r="E26" s="14">
        <v>44.795561239999998</v>
      </c>
      <c r="F26" s="16">
        <v>2.2359124399999999</v>
      </c>
      <c r="G26" s="14">
        <v>17.876265109999999</v>
      </c>
      <c r="H26" s="16">
        <v>1.8660442800000001</v>
      </c>
      <c r="I26" s="14">
        <v>19.372234420000002</v>
      </c>
      <c r="J26" s="16">
        <v>1.9833855</v>
      </c>
      <c r="K26" s="14">
        <v>17.955939229999998</v>
      </c>
      <c r="L26" s="16">
        <v>2.0321472599999999</v>
      </c>
      <c r="M26" s="14" t="s">
        <v>139</v>
      </c>
      <c r="N26" s="16" t="s">
        <v>139</v>
      </c>
      <c r="O26" s="14">
        <v>0</v>
      </c>
      <c r="P26" s="16">
        <v>0</v>
      </c>
      <c r="Q26" s="14">
        <v>0</v>
      </c>
      <c r="R26" s="16">
        <v>0</v>
      </c>
      <c r="S26" s="14">
        <v>0</v>
      </c>
      <c r="T26" s="16">
        <v>0</v>
      </c>
      <c r="U26" s="14">
        <v>0</v>
      </c>
      <c r="V26" s="16">
        <v>0</v>
      </c>
    </row>
    <row r="27" spans="1:22" x14ac:dyDescent="0.25">
      <c r="A27" s="11" t="s">
        <v>160</v>
      </c>
      <c r="B27" s="13">
        <v>2616</v>
      </c>
      <c r="C27" s="14">
        <f>(2189/B27*100)</f>
        <v>83.677370030581045</v>
      </c>
      <c r="D27" s="15">
        <v>427</v>
      </c>
      <c r="E27" s="14">
        <v>41.231208590000001</v>
      </c>
      <c r="F27" s="16">
        <v>2.4519593799999999</v>
      </c>
      <c r="G27" s="14">
        <v>21.654360350000001</v>
      </c>
      <c r="H27" s="16">
        <v>2.2395377500000002</v>
      </c>
      <c r="I27" s="14">
        <v>23.486289540000001</v>
      </c>
      <c r="J27" s="16">
        <v>2.05702198</v>
      </c>
      <c r="K27" s="14">
        <v>13.62814152</v>
      </c>
      <c r="L27" s="16">
        <v>1.5868193399999999</v>
      </c>
      <c r="M27" s="14" t="s">
        <v>139</v>
      </c>
      <c r="N27" s="16" t="s">
        <v>139</v>
      </c>
      <c r="O27" s="14">
        <v>0</v>
      </c>
      <c r="P27" s="16">
        <v>0</v>
      </c>
      <c r="Q27" s="14">
        <v>0</v>
      </c>
      <c r="R27" s="16">
        <v>0</v>
      </c>
      <c r="S27" s="14">
        <v>0</v>
      </c>
      <c r="T27" s="16">
        <v>0</v>
      </c>
      <c r="U27" s="14">
        <v>0</v>
      </c>
      <c r="V27" s="16">
        <v>0</v>
      </c>
    </row>
    <row r="28" spans="1:22" x14ac:dyDescent="0.25">
      <c r="A28" s="11" t="s">
        <v>161</v>
      </c>
      <c r="B28" s="13">
        <v>3765</v>
      </c>
      <c r="C28" s="14">
        <f>(3164/B28*100)</f>
        <v>84.037184594953516</v>
      </c>
      <c r="D28" s="15">
        <v>601</v>
      </c>
      <c r="E28" s="14">
        <v>61.891676259999997</v>
      </c>
      <c r="F28" s="16">
        <v>2.3558430800000001</v>
      </c>
      <c r="G28" s="14">
        <v>10.127546260000001</v>
      </c>
      <c r="H28" s="16">
        <v>1.43936804</v>
      </c>
      <c r="I28" s="14">
        <v>21.828336749999998</v>
      </c>
      <c r="J28" s="16">
        <v>2.08191755</v>
      </c>
      <c r="K28" s="14">
        <v>6.1524407200000004</v>
      </c>
      <c r="L28" s="16">
        <v>0.94665001000000004</v>
      </c>
      <c r="M28" s="14" t="s">
        <v>139</v>
      </c>
      <c r="N28" s="16" t="s">
        <v>139</v>
      </c>
      <c r="O28" s="14">
        <v>0</v>
      </c>
      <c r="P28" s="16">
        <v>0</v>
      </c>
      <c r="Q28" s="14">
        <v>0</v>
      </c>
      <c r="R28" s="16">
        <v>0</v>
      </c>
      <c r="S28" s="14">
        <v>0</v>
      </c>
      <c r="T28" s="16">
        <v>0</v>
      </c>
      <c r="U28" s="14">
        <v>0</v>
      </c>
      <c r="V28" s="16">
        <v>0</v>
      </c>
    </row>
    <row r="29" spans="1:22" x14ac:dyDescent="0.25">
      <c r="A29" s="11" t="s">
        <v>162</v>
      </c>
      <c r="B29" s="13">
        <v>2685</v>
      </c>
      <c r="C29" s="14">
        <f>(2235/B29*100)</f>
        <v>83.240223463687144</v>
      </c>
      <c r="D29" s="15">
        <v>450</v>
      </c>
      <c r="E29" s="14">
        <v>36.908527530000001</v>
      </c>
      <c r="F29" s="16">
        <v>1.9896804699999999</v>
      </c>
      <c r="G29" s="14">
        <v>15.77771695</v>
      </c>
      <c r="H29" s="16">
        <v>1.9942311800000001</v>
      </c>
      <c r="I29" s="14">
        <v>30.17809836</v>
      </c>
      <c r="J29" s="16">
        <v>2.1551741099999999</v>
      </c>
      <c r="K29" s="14">
        <v>17.13565715</v>
      </c>
      <c r="L29" s="16">
        <v>2.1204799799999998</v>
      </c>
      <c r="M29" s="14" t="s">
        <v>139</v>
      </c>
      <c r="N29" s="16" t="s">
        <v>139</v>
      </c>
      <c r="O29" s="14">
        <v>0</v>
      </c>
      <c r="P29" s="16">
        <v>0</v>
      </c>
      <c r="Q29" s="14">
        <v>0</v>
      </c>
      <c r="R29" s="16">
        <v>0</v>
      </c>
      <c r="S29" s="14">
        <v>0</v>
      </c>
      <c r="T29" s="16">
        <v>0</v>
      </c>
      <c r="U29" s="14">
        <v>0</v>
      </c>
      <c r="V29" s="16">
        <v>0</v>
      </c>
    </row>
    <row r="30" spans="1:22" x14ac:dyDescent="0.25">
      <c r="A30" s="11" t="s">
        <v>163</v>
      </c>
      <c r="B30" s="13">
        <v>2263</v>
      </c>
      <c r="C30" s="14">
        <f>(1891/B30*100)</f>
        <v>83.561643835616437</v>
      </c>
      <c r="D30" s="15">
        <v>372</v>
      </c>
      <c r="E30" s="14">
        <v>40.643713949999999</v>
      </c>
      <c r="F30" s="16">
        <v>2.6185530099999998</v>
      </c>
      <c r="G30" s="14">
        <v>20.934696899999999</v>
      </c>
      <c r="H30" s="16">
        <v>2.0643980399999999</v>
      </c>
      <c r="I30" s="14">
        <v>19.8233274</v>
      </c>
      <c r="J30" s="16">
        <v>2.0062865599999999</v>
      </c>
      <c r="K30" s="14">
        <v>18.598261740000002</v>
      </c>
      <c r="L30" s="16">
        <v>2.12657695</v>
      </c>
      <c r="M30" s="14" t="s">
        <v>139</v>
      </c>
      <c r="N30" s="16" t="s">
        <v>139</v>
      </c>
      <c r="O30" s="14">
        <v>0</v>
      </c>
      <c r="P30" s="16">
        <v>0</v>
      </c>
      <c r="Q30" s="14">
        <v>0</v>
      </c>
      <c r="R30" s="16">
        <v>0</v>
      </c>
      <c r="S30" s="14">
        <v>0</v>
      </c>
      <c r="T30" s="16">
        <v>0</v>
      </c>
      <c r="U30" s="14">
        <v>0</v>
      </c>
      <c r="V30" s="16">
        <v>0</v>
      </c>
    </row>
    <row r="31" spans="1:22" x14ac:dyDescent="0.25">
      <c r="A31" s="11" t="s">
        <v>164</v>
      </c>
      <c r="B31" s="13">
        <v>2750</v>
      </c>
      <c r="C31" s="14">
        <f>(2300/B31*100)</f>
        <v>83.636363636363626</v>
      </c>
      <c r="D31" s="15">
        <v>450</v>
      </c>
      <c r="E31" s="14">
        <v>40.528220019999999</v>
      </c>
      <c r="F31" s="16">
        <v>1.98017442</v>
      </c>
      <c r="G31" s="14">
        <v>17.65229442</v>
      </c>
      <c r="H31" s="16">
        <v>1.7224271200000001</v>
      </c>
      <c r="I31" s="14">
        <v>21.067561170000001</v>
      </c>
      <c r="J31" s="16">
        <v>1.8426690299999999</v>
      </c>
      <c r="K31" s="14">
        <v>20.751924389999999</v>
      </c>
      <c r="L31" s="16">
        <v>1.8183893799999999</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(3068/B33*100)</f>
        <v>83.505715841045173</v>
      </c>
      <c r="D33" s="15">
        <v>606</v>
      </c>
      <c r="E33" s="14">
        <v>46.139201730000003</v>
      </c>
      <c r="F33" s="16">
        <v>2.31057275</v>
      </c>
      <c r="G33" s="14">
        <v>17.32024951</v>
      </c>
      <c r="H33" s="16">
        <v>1.7564532100000001</v>
      </c>
      <c r="I33" s="14">
        <v>23.999769300000001</v>
      </c>
      <c r="J33" s="16">
        <v>1.9110881099999999</v>
      </c>
      <c r="K33" s="14">
        <v>12.54077945</v>
      </c>
      <c r="L33" s="16">
        <v>1.6061709099999999</v>
      </c>
      <c r="M33" s="14" t="s">
        <v>139</v>
      </c>
      <c r="N33" s="16" t="s">
        <v>139</v>
      </c>
      <c r="O33" s="14">
        <v>0</v>
      </c>
      <c r="P33" s="16">
        <v>0</v>
      </c>
      <c r="Q33" s="14">
        <v>0</v>
      </c>
      <c r="R33" s="16">
        <v>0</v>
      </c>
      <c r="S33" s="14">
        <v>0</v>
      </c>
      <c r="T33" s="16">
        <v>0</v>
      </c>
      <c r="U33" s="14">
        <v>0</v>
      </c>
      <c r="V33" s="16">
        <v>0</v>
      </c>
    </row>
    <row r="34" spans="1:22" x14ac:dyDescent="0.25">
      <c r="A34" s="11" t="s">
        <v>167</v>
      </c>
      <c r="B34" s="13">
        <v>3315</v>
      </c>
      <c r="C34" s="14">
        <f>(2773/B34*100)</f>
        <v>83.650075414781298</v>
      </c>
      <c r="D34" s="15">
        <v>542</v>
      </c>
      <c r="E34" s="14">
        <v>58.532951820000001</v>
      </c>
      <c r="F34" s="16">
        <v>2.1512411600000001</v>
      </c>
      <c r="G34" s="14">
        <v>16.095295539999999</v>
      </c>
      <c r="H34" s="16">
        <v>1.62998175</v>
      </c>
      <c r="I34" s="14">
        <v>15.952685600000001</v>
      </c>
      <c r="J34" s="16">
        <v>1.8249232200000001</v>
      </c>
      <c r="K34" s="14">
        <v>9.4190670500000007</v>
      </c>
      <c r="L34" s="16">
        <v>1.28017227</v>
      </c>
      <c r="M34" s="14" t="s">
        <v>139</v>
      </c>
      <c r="N34" s="16" t="s">
        <v>139</v>
      </c>
      <c r="O34" s="14">
        <v>0</v>
      </c>
      <c r="P34" s="16">
        <v>0</v>
      </c>
      <c r="Q34" s="14">
        <v>0</v>
      </c>
      <c r="R34" s="16">
        <v>0</v>
      </c>
      <c r="S34" s="14">
        <v>0</v>
      </c>
      <c r="T34" s="16">
        <v>0</v>
      </c>
      <c r="U34" s="14">
        <v>0</v>
      </c>
      <c r="V34" s="16">
        <v>0</v>
      </c>
    </row>
    <row r="35" spans="1:22" x14ac:dyDescent="0.25">
      <c r="A35" s="11" t="s">
        <v>168</v>
      </c>
      <c r="B35" s="13">
        <v>3505</v>
      </c>
      <c r="C35" s="14">
        <f>(2930/B35*100)</f>
        <v>83.594864479315262</v>
      </c>
      <c r="D35" s="15">
        <v>575</v>
      </c>
      <c r="E35" s="14">
        <v>47.006102589999998</v>
      </c>
      <c r="F35" s="16">
        <v>2.8616213400000001</v>
      </c>
      <c r="G35" s="14">
        <v>19.629540559999999</v>
      </c>
      <c r="H35" s="16">
        <v>2.2282955800000002</v>
      </c>
      <c r="I35" s="14">
        <v>24.72038105</v>
      </c>
      <c r="J35" s="16">
        <v>2.1275435900000002</v>
      </c>
      <c r="K35" s="14">
        <v>8.6439757999999998</v>
      </c>
      <c r="L35" s="16">
        <v>1.31895008</v>
      </c>
      <c r="M35" s="14" t="s">
        <v>139</v>
      </c>
      <c r="N35" s="16" t="s">
        <v>139</v>
      </c>
      <c r="O35" s="14">
        <v>0</v>
      </c>
      <c r="P35" s="16">
        <v>0</v>
      </c>
      <c r="Q35" s="14">
        <v>0</v>
      </c>
      <c r="R35" s="16">
        <v>0</v>
      </c>
      <c r="S35" s="14">
        <v>0</v>
      </c>
      <c r="T35" s="16">
        <v>0</v>
      </c>
      <c r="U35" s="14">
        <v>0</v>
      </c>
      <c r="V35" s="16">
        <v>0</v>
      </c>
    </row>
    <row r="36" spans="1:22" x14ac:dyDescent="0.25">
      <c r="A36" s="11" t="s">
        <v>169</v>
      </c>
      <c r="B36" s="13">
        <v>3332</v>
      </c>
      <c r="C36" s="14">
        <f>(2767/B36*100)</f>
        <v>83.043217286914768</v>
      </c>
      <c r="D36" s="15">
        <v>565</v>
      </c>
      <c r="E36" s="14">
        <v>54.934936739999998</v>
      </c>
      <c r="F36" s="16">
        <v>2.2166592500000002</v>
      </c>
      <c r="G36" s="14">
        <v>13.680839260000001</v>
      </c>
      <c r="H36" s="16">
        <v>1.66512785</v>
      </c>
      <c r="I36" s="14">
        <v>17.366819790000001</v>
      </c>
      <c r="J36" s="16">
        <v>1.7393053199999999</v>
      </c>
      <c r="K36" s="14">
        <v>14.01740421</v>
      </c>
      <c r="L36" s="16">
        <v>1.5912156</v>
      </c>
      <c r="M36" s="14" t="s">
        <v>139</v>
      </c>
      <c r="N36" s="16" t="s">
        <v>139</v>
      </c>
      <c r="O36" s="14">
        <v>0</v>
      </c>
      <c r="P36" s="16">
        <v>0</v>
      </c>
      <c r="Q36" s="14">
        <v>0</v>
      </c>
      <c r="R36" s="16">
        <v>0</v>
      </c>
      <c r="S36" s="14">
        <v>0</v>
      </c>
      <c r="T36" s="16">
        <v>0</v>
      </c>
      <c r="U36" s="14">
        <v>0</v>
      </c>
      <c r="V36" s="16">
        <v>0</v>
      </c>
    </row>
    <row r="37" spans="1:22" x14ac:dyDescent="0.25">
      <c r="A37" s="11" t="s">
        <v>170</v>
      </c>
      <c r="B37" s="13">
        <v>2727</v>
      </c>
      <c r="C37" s="14">
        <f>(2291/B37*100)</f>
        <v>84.011734506784009</v>
      </c>
      <c r="D37" s="15">
        <v>436</v>
      </c>
      <c r="E37" s="14">
        <v>25.79485708</v>
      </c>
      <c r="F37" s="16">
        <v>2.3865763800000002</v>
      </c>
      <c r="G37" s="14">
        <v>24.528807010000001</v>
      </c>
      <c r="H37" s="16">
        <v>2.0618359700000002</v>
      </c>
      <c r="I37" s="14">
        <v>31.878769550000001</v>
      </c>
      <c r="J37" s="16">
        <v>2.4412415599999999</v>
      </c>
      <c r="K37" s="14">
        <v>17.79756635</v>
      </c>
      <c r="L37" s="16">
        <v>1.8480928000000001</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(2449/B39*100)</f>
        <v>82.820426107541422</v>
      </c>
      <c r="D39" s="15">
        <v>508</v>
      </c>
      <c r="E39" s="14">
        <v>61.875706280000003</v>
      </c>
      <c r="F39" s="16">
        <v>2.3221037099999999</v>
      </c>
      <c r="G39" s="14">
        <v>11.42234412</v>
      </c>
      <c r="H39" s="16">
        <v>1.70572959</v>
      </c>
      <c r="I39" s="14">
        <v>17.256258630000001</v>
      </c>
      <c r="J39" s="16">
        <v>1.95511865</v>
      </c>
      <c r="K39" s="14">
        <v>9.4456909699999994</v>
      </c>
      <c r="L39" s="16">
        <v>1.61237517</v>
      </c>
      <c r="M39" s="14" t="s">
        <v>139</v>
      </c>
      <c r="N39" s="16" t="s">
        <v>139</v>
      </c>
      <c r="O39" s="14">
        <v>0</v>
      </c>
      <c r="P39" s="16">
        <v>0</v>
      </c>
      <c r="Q39" s="14">
        <v>0</v>
      </c>
      <c r="R39" s="16">
        <v>0</v>
      </c>
      <c r="S39" s="14">
        <v>0</v>
      </c>
      <c r="T39" s="16">
        <v>0</v>
      </c>
      <c r="U39" s="14">
        <v>0</v>
      </c>
      <c r="V39" s="16">
        <v>0</v>
      </c>
    </row>
    <row r="40" spans="1:22" x14ac:dyDescent="0.25">
      <c r="A40" s="11" t="s">
        <v>173</v>
      </c>
      <c r="B40" s="13">
        <v>7235</v>
      </c>
      <c r="C40" s="14">
        <f>(6010/B40*100)</f>
        <v>83.068417415342083</v>
      </c>
      <c r="D40" s="15">
        <v>1225</v>
      </c>
      <c r="E40" s="14">
        <v>37.235715220000003</v>
      </c>
      <c r="F40" s="16">
        <v>1.7688424599999999</v>
      </c>
      <c r="G40" s="14">
        <v>20.956100769999999</v>
      </c>
      <c r="H40" s="16">
        <v>1.8240489499999999</v>
      </c>
      <c r="I40" s="14">
        <v>24.65755871</v>
      </c>
      <c r="J40" s="16">
        <v>1.5134855899999999</v>
      </c>
      <c r="K40" s="14">
        <v>17.150625300000002</v>
      </c>
      <c r="L40" s="16">
        <v>1.4303926499999999</v>
      </c>
      <c r="M40" s="14" t="s">
        <v>139</v>
      </c>
      <c r="N40" s="16" t="s">
        <v>139</v>
      </c>
      <c r="O40" s="14">
        <v>0</v>
      </c>
      <c r="P40" s="16">
        <v>0</v>
      </c>
      <c r="Q40" s="14">
        <v>0</v>
      </c>
      <c r="R40" s="16">
        <v>0</v>
      </c>
      <c r="S40" s="14">
        <v>0</v>
      </c>
      <c r="T40" s="16">
        <v>0</v>
      </c>
      <c r="U40" s="14">
        <v>0</v>
      </c>
      <c r="V40" s="16">
        <v>0</v>
      </c>
    </row>
    <row r="41" spans="1:22" x14ac:dyDescent="0.25">
      <c r="A41" s="11" t="s">
        <v>174</v>
      </c>
      <c r="B41" s="13">
        <v>2858</v>
      </c>
      <c r="C41" s="14">
        <f>(2387/B41*100)</f>
        <v>83.519944016794966</v>
      </c>
      <c r="D41" s="15">
        <v>471</v>
      </c>
      <c r="E41" s="14">
        <v>38.909319449999998</v>
      </c>
      <c r="F41" s="16">
        <v>2.4796558499999999</v>
      </c>
      <c r="G41" s="14">
        <v>17.648931650000002</v>
      </c>
      <c r="H41" s="16">
        <v>1.9301377200000001</v>
      </c>
      <c r="I41" s="14">
        <v>24.896200369999999</v>
      </c>
      <c r="J41" s="16">
        <v>2.1742112200000001</v>
      </c>
      <c r="K41" s="14">
        <v>18.545548539999999</v>
      </c>
      <c r="L41" s="16">
        <v>1.8245596900000001</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83.418849594780681</v>
      </c>
      <c r="D42" s="15">
        <f>IF(COUNT(D7:D41) &gt; 0, AVERAGE(D7:D41), "—")</f>
        <v>606.78125</v>
      </c>
      <c r="E42" s="14">
        <f>IF(COUNT(E7:E41) &gt; 0, AVERAGE(E7:E41), "—")</f>
        <v>42.801489326562503</v>
      </c>
      <c r="F42" s="16">
        <f>IF(COUNT(F7:F41) &gt; 0, SQRT(SUMSQ(F7:F41)/(COUNT(F7:F41)*COUNT(F7:F41)) ), "—")</f>
        <v>0.41139914281156514</v>
      </c>
      <c r="G42" s="14">
        <f>IF(COUNT(G7:G41) &gt; 0, AVERAGE(G7:G41), "—")</f>
        <v>17.828864420625003</v>
      </c>
      <c r="H42" s="16">
        <f>IF(COUNT(H7:H41) &gt; 0, SQRT(SUMSQ(H7:H41)/(COUNT(H7:H41)*COUNT(H7:H41)) ), "—")</f>
        <v>0.3204756867680339</v>
      </c>
      <c r="I42" s="14">
        <f>IF(COUNT(I7:I41) &gt; 0, AVERAGE(I7:I41), "—")</f>
        <v>23.654363101562502</v>
      </c>
      <c r="J42" s="16">
        <f>IF(COUNT(J7:J41) &gt; 0, SQRT(SUMSQ(J7:J41)/(COUNT(J7:J41)*COUNT(J7:J41)) ), "—")</f>
        <v>0.34929144054527078</v>
      </c>
      <c r="K42" s="14">
        <f>IF(COUNT(K7:K41) &gt; 0, AVERAGE(K7:K41), "—")</f>
        <v>15.715283150937502</v>
      </c>
      <c r="L42" s="16">
        <f>IF(COUNT(L7:L41) &gt; 0, SQRT(SUMSQ(L7:L41)/(COUNT(L7:L41)*COUNT(L7:L41)) ), "—")</f>
        <v>0.29022991067667953</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(9619/B46*100)</f>
        <v>86.908203830863755</v>
      </c>
      <c r="D46" s="15">
        <v>1449</v>
      </c>
      <c r="E46" s="14">
        <v>70.418983229999995</v>
      </c>
      <c r="F46" s="16">
        <v>1.6077149100000001</v>
      </c>
      <c r="G46" s="14">
        <v>12.679560499999999</v>
      </c>
      <c r="H46" s="16">
        <v>1.0992043</v>
      </c>
      <c r="I46" s="14">
        <v>11.167125820000001</v>
      </c>
      <c r="J46" s="16">
        <v>0.92647723000000004</v>
      </c>
      <c r="K46" s="14">
        <v>5.7343304499999999</v>
      </c>
      <c r="L46" s="16">
        <v>0.73507270999999996</v>
      </c>
      <c r="M46" s="14" t="s">
        <v>139</v>
      </c>
      <c r="N46" s="16" t="s">
        <v>139</v>
      </c>
      <c r="O46" s="14">
        <v>0</v>
      </c>
      <c r="P46" s="16">
        <v>0</v>
      </c>
      <c r="Q46" s="14">
        <v>0</v>
      </c>
      <c r="R46" s="16">
        <v>0</v>
      </c>
      <c r="S46" s="14">
        <v>0</v>
      </c>
      <c r="T46" s="16">
        <v>0</v>
      </c>
      <c r="U46" s="14">
        <v>0</v>
      </c>
      <c r="V46" s="16">
        <v>0</v>
      </c>
    </row>
    <row r="47" spans="1:22" x14ac:dyDescent="0.25">
      <c r="A47" s="11" t="s">
        <v>180</v>
      </c>
      <c r="B47" s="13">
        <v>3105</v>
      </c>
      <c r="C47" s="14">
        <f>(2613/B47*100)</f>
        <v>84.154589371980677</v>
      </c>
      <c r="D47" s="15">
        <v>492</v>
      </c>
      <c r="E47" s="14">
        <v>50.612492039999999</v>
      </c>
      <c r="F47" s="16">
        <v>2.7225652500000002</v>
      </c>
      <c r="G47" s="14">
        <v>16.292053809999999</v>
      </c>
      <c r="H47" s="16">
        <v>1.75989818</v>
      </c>
      <c r="I47" s="14">
        <v>22.736404919999998</v>
      </c>
      <c r="J47" s="16">
        <v>2.16780967</v>
      </c>
      <c r="K47" s="14">
        <v>10.35904923</v>
      </c>
      <c r="L47" s="16">
        <v>1.46503359</v>
      </c>
      <c r="M47" s="14" t="s">
        <v>139</v>
      </c>
      <c r="N47" s="16" t="s">
        <v>139</v>
      </c>
      <c r="O47" s="14">
        <v>0</v>
      </c>
      <c r="P47" s="16">
        <v>0</v>
      </c>
      <c r="Q47" s="14">
        <v>0</v>
      </c>
      <c r="R47" s="16">
        <v>0</v>
      </c>
      <c r="S47" s="14">
        <v>0</v>
      </c>
      <c r="T47" s="16">
        <v>0</v>
      </c>
      <c r="U47" s="14">
        <v>0</v>
      </c>
      <c r="V47" s="16">
        <v>0</v>
      </c>
    </row>
    <row r="48" spans="1:22" x14ac:dyDescent="0.25">
      <c r="A48" s="11" t="s">
        <v>181</v>
      </c>
      <c r="B48" s="13">
        <v>5159</v>
      </c>
      <c r="C48" s="14">
        <f>(4290/B48*100)</f>
        <v>83.155650319829419</v>
      </c>
      <c r="D48" s="15">
        <v>869</v>
      </c>
      <c r="E48" s="14">
        <v>42.098858389999997</v>
      </c>
      <c r="F48" s="16">
        <v>2.0567822200000001</v>
      </c>
      <c r="G48" s="14">
        <v>11.983222619999999</v>
      </c>
      <c r="H48" s="16">
        <v>1.3662089500000001</v>
      </c>
      <c r="I48" s="14">
        <v>21.030812340000001</v>
      </c>
      <c r="J48" s="16">
        <v>1.7090766100000001</v>
      </c>
      <c r="K48" s="14">
        <v>24.88710665</v>
      </c>
      <c r="L48" s="16">
        <v>2.33304095</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(4699/B50*100)</f>
        <v>83.359943232215713</v>
      </c>
      <c r="D50" s="15">
        <v>938</v>
      </c>
      <c r="E50" s="14">
        <v>70.053534069999998</v>
      </c>
      <c r="F50" s="16">
        <v>1.84499963</v>
      </c>
      <c r="G50" s="14">
        <v>9.7699333700000004</v>
      </c>
      <c r="H50" s="16">
        <v>1.2207688299999999</v>
      </c>
      <c r="I50" s="14">
        <v>14.808890269999999</v>
      </c>
      <c r="J50" s="16">
        <v>1.5323564999999999</v>
      </c>
      <c r="K50" s="14">
        <v>5.36764229</v>
      </c>
      <c r="L50" s="16">
        <v>0.90690276000000003</v>
      </c>
      <c r="M50" s="14" t="s">
        <v>139</v>
      </c>
      <c r="N50" s="16" t="s">
        <v>139</v>
      </c>
      <c r="O50" s="14">
        <v>0</v>
      </c>
      <c r="P50" s="16">
        <v>0</v>
      </c>
      <c r="Q50" s="14">
        <v>0</v>
      </c>
      <c r="R50" s="16">
        <v>0</v>
      </c>
      <c r="S50" s="14">
        <v>0</v>
      </c>
      <c r="T50" s="16">
        <v>0</v>
      </c>
      <c r="U50" s="14">
        <v>0</v>
      </c>
      <c r="V50" s="16">
        <v>0</v>
      </c>
    </row>
    <row r="51" spans="1:22" x14ac:dyDescent="0.25">
      <c r="A51" s="11" t="s">
        <v>184</v>
      </c>
      <c r="B51" s="13">
        <v>3372</v>
      </c>
      <c r="C51" s="14">
        <f>(2870/B51*100)</f>
        <v>85.112692763938313</v>
      </c>
      <c r="D51" s="15">
        <v>502</v>
      </c>
      <c r="E51" s="14">
        <v>72.814397999999997</v>
      </c>
      <c r="F51" s="16">
        <v>1.9630986100000001</v>
      </c>
      <c r="G51" s="14">
        <v>9.7445555200000005</v>
      </c>
      <c r="H51" s="16">
        <v>1.2915809499999999</v>
      </c>
      <c r="I51" s="14">
        <v>10.583683730000001</v>
      </c>
      <c r="J51" s="16">
        <v>1.5146641000000001</v>
      </c>
      <c r="K51" s="14">
        <v>6.8573627500000001</v>
      </c>
      <c r="L51" s="16">
        <v>1.23040174</v>
      </c>
      <c r="M51" s="14" t="s">
        <v>139</v>
      </c>
      <c r="N51" s="16" t="s">
        <v>139</v>
      </c>
      <c r="O51" s="14">
        <v>0</v>
      </c>
      <c r="P51" s="16">
        <v>0</v>
      </c>
      <c r="Q51" s="14">
        <v>0</v>
      </c>
      <c r="R51" s="16">
        <v>0</v>
      </c>
      <c r="S51" s="14">
        <v>0</v>
      </c>
      <c r="T51" s="16">
        <v>0</v>
      </c>
      <c r="U51" s="14">
        <v>0</v>
      </c>
      <c r="V51" s="16">
        <v>0</v>
      </c>
    </row>
    <row r="52" spans="1:22" x14ac:dyDescent="0.25">
      <c r="A52" s="11" t="s">
        <v>185</v>
      </c>
      <c r="B52" s="13">
        <v>2796</v>
      </c>
      <c r="C52" s="14">
        <f>(2343/B52*100)</f>
        <v>83.798283261802581</v>
      </c>
      <c r="D52" s="15">
        <v>453</v>
      </c>
      <c r="E52" s="14">
        <v>46.350028170000002</v>
      </c>
      <c r="F52" s="16">
        <v>2.5438129799999998</v>
      </c>
      <c r="G52" s="14">
        <v>23.785154110000001</v>
      </c>
      <c r="H52" s="16">
        <v>2.01244063</v>
      </c>
      <c r="I52" s="14">
        <v>20.321575379999999</v>
      </c>
      <c r="J52" s="16">
        <v>2.1338811899999999</v>
      </c>
      <c r="K52" s="14">
        <v>9.5432423400000008</v>
      </c>
      <c r="L52" s="16">
        <v>1.48663211</v>
      </c>
      <c r="M52" s="14" t="s">
        <v>139</v>
      </c>
      <c r="N52" s="16" t="s">
        <v>139</v>
      </c>
      <c r="O52" s="14">
        <v>0</v>
      </c>
      <c r="P52" s="16">
        <v>0</v>
      </c>
      <c r="Q52" s="14">
        <v>0</v>
      </c>
      <c r="R52" s="16">
        <v>0</v>
      </c>
      <c r="S52" s="14">
        <v>0</v>
      </c>
      <c r="T52" s="16">
        <v>0</v>
      </c>
      <c r="U52" s="14">
        <v>0</v>
      </c>
      <c r="V52" s="16">
        <v>0</v>
      </c>
    </row>
    <row r="53" spans="1:22" x14ac:dyDescent="0.25">
      <c r="A53" s="11" t="s">
        <v>186</v>
      </c>
      <c r="B53" s="13">
        <v>2811</v>
      </c>
      <c r="C53" s="14">
        <f>(2342/B53*100)</f>
        <v>83.315546069014587</v>
      </c>
      <c r="D53" s="15">
        <v>469</v>
      </c>
      <c r="E53" s="14">
        <v>52.809579769999999</v>
      </c>
      <c r="F53" s="16">
        <v>2.6126876499999998</v>
      </c>
      <c r="G53" s="14">
        <v>16.846137030000001</v>
      </c>
      <c r="H53" s="16">
        <v>1.60343239</v>
      </c>
      <c r="I53" s="14">
        <v>21.76147971</v>
      </c>
      <c r="J53" s="16">
        <v>1.8730319600000001</v>
      </c>
      <c r="K53" s="14">
        <v>8.5828034800000008</v>
      </c>
      <c r="L53" s="16">
        <v>1.37074205</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(2244/B56*100)</f>
        <v>83.606557377049185</v>
      </c>
      <c r="D56" s="15">
        <v>440</v>
      </c>
      <c r="E56" s="14">
        <v>28.772806769999999</v>
      </c>
      <c r="F56" s="16">
        <v>2.5749120799999998</v>
      </c>
      <c r="G56" s="14">
        <v>15.27997469</v>
      </c>
      <c r="H56" s="16">
        <v>1.58694976</v>
      </c>
      <c r="I56" s="14">
        <v>27.069600829999999</v>
      </c>
      <c r="J56" s="16">
        <v>1.9035960700000001</v>
      </c>
      <c r="K56" s="14">
        <v>28.877617709999999</v>
      </c>
      <c r="L56" s="16">
        <v>2.4198103999999998</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(2784/B61*100)</f>
        <v>83.754512635379058</v>
      </c>
      <c r="D61" s="15">
        <v>540</v>
      </c>
      <c r="E61" s="14">
        <v>46.377917859999997</v>
      </c>
      <c r="F61" s="16">
        <v>2.07955851</v>
      </c>
      <c r="G61" s="14">
        <v>14.81134643</v>
      </c>
      <c r="H61" s="16">
        <v>1.5912607000000001</v>
      </c>
      <c r="I61" s="14">
        <v>24.384392309999999</v>
      </c>
      <c r="J61" s="16">
        <v>2.0884783100000002</v>
      </c>
      <c r="K61" s="14">
        <v>14.42634339</v>
      </c>
      <c r="L61" s="16">
        <v>1.59839274</v>
      </c>
      <c r="M61" s="14" t="s">
        <v>139</v>
      </c>
      <c r="N61" s="16" t="s">
        <v>139</v>
      </c>
      <c r="O61" s="14">
        <v>0</v>
      </c>
      <c r="P61" s="16">
        <v>0</v>
      </c>
      <c r="Q61" s="14">
        <v>0</v>
      </c>
      <c r="R61" s="16">
        <v>0</v>
      </c>
      <c r="S61" s="14">
        <v>0</v>
      </c>
      <c r="T61" s="16">
        <v>0</v>
      </c>
      <c r="U61" s="14">
        <v>0</v>
      </c>
      <c r="V61" s="16">
        <v>0</v>
      </c>
    </row>
    <row r="62" spans="1:22" x14ac:dyDescent="0.25">
      <c r="A62" s="11" t="s">
        <v>195</v>
      </c>
      <c r="B62" s="13">
        <v>2246</v>
      </c>
      <c r="C62" s="14">
        <f>(1850/B62*100)</f>
        <v>82.36865538735529</v>
      </c>
      <c r="D62" s="15">
        <v>396</v>
      </c>
      <c r="E62" s="14">
        <v>30.304844200000002</v>
      </c>
      <c r="F62" s="16">
        <v>2.4290608900000001</v>
      </c>
      <c r="G62" s="14">
        <v>6.8295081</v>
      </c>
      <c r="H62" s="16">
        <v>1.4116573699999999</v>
      </c>
      <c r="I62" s="14">
        <v>27.064517949999999</v>
      </c>
      <c r="J62" s="16">
        <v>2.1056735299999998</v>
      </c>
      <c r="K62" s="14">
        <v>35.801129750000001</v>
      </c>
      <c r="L62" s="16">
        <v>2.5377659700000001</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(2445/B66*100)</f>
        <v>84.485141672425712</v>
      </c>
      <c r="D66" s="15">
        <v>449</v>
      </c>
      <c r="E66" s="14">
        <v>62.70966284</v>
      </c>
      <c r="F66" s="16">
        <v>2.3543927</v>
      </c>
      <c r="G66" s="14">
        <v>16.710762549999998</v>
      </c>
      <c r="H66" s="16">
        <v>1.6697109000000001</v>
      </c>
      <c r="I66" s="14">
        <v>11.23050347</v>
      </c>
      <c r="J66" s="16">
        <v>1.4737027700000001</v>
      </c>
      <c r="K66" s="14">
        <v>9.3490711399999995</v>
      </c>
      <c r="L66" s="16">
        <v>1.1894828500000001</v>
      </c>
      <c r="M66" s="14" t="s">
        <v>139</v>
      </c>
      <c r="N66" s="16" t="s">
        <v>139</v>
      </c>
      <c r="O66" s="14">
        <v>0</v>
      </c>
      <c r="P66" s="16">
        <v>0</v>
      </c>
      <c r="Q66" s="14">
        <v>0</v>
      </c>
      <c r="R66" s="16">
        <v>0</v>
      </c>
      <c r="S66" s="14">
        <v>0</v>
      </c>
      <c r="T66" s="16">
        <v>0</v>
      </c>
      <c r="U66" s="14">
        <v>0</v>
      </c>
      <c r="V66" s="16">
        <v>0</v>
      </c>
    </row>
    <row r="67" spans="1:22" x14ac:dyDescent="0.25">
      <c r="A67" s="11" t="s">
        <v>200</v>
      </c>
      <c r="B67" s="13">
        <v>3511</v>
      </c>
      <c r="C67" s="14">
        <f>(2981/B67*100)</f>
        <v>84.904585588151519</v>
      </c>
      <c r="D67" s="15">
        <v>530</v>
      </c>
      <c r="E67" s="14">
        <v>77.118408430000002</v>
      </c>
      <c r="F67" s="16">
        <v>1.8185966499999999</v>
      </c>
      <c r="G67" s="14">
        <v>6.4772710900000003</v>
      </c>
      <c r="H67" s="16">
        <v>1.2690127</v>
      </c>
      <c r="I67" s="14">
        <v>12.5859614</v>
      </c>
      <c r="J67" s="16">
        <v>1.5645872300000001</v>
      </c>
      <c r="K67" s="14">
        <v>3.81835909</v>
      </c>
      <c r="L67" s="16">
        <v>0.74594484000000005</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(2445/B70*100)</f>
        <v>83.475588938204169</v>
      </c>
      <c r="D70" s="15">
        <v>484</v>
      </c>
      <c r="E70" s="14">
        <v>37.527501940000001</v>
      </c>
      <c r="F70" s="16">
        <v>2.3840324399999999</v>
      </c>
      <c r="G70" s="14">
        <v>23.22166202</v>
      </c>
      <c r="H70" s="16">
        <v>1.71428549</v>
      </c>
      <c r="I70" s="14">
        <v>17.336746470000001</v>
      </c>
      <c r="J70" s="16">
        <v>2.1968620400000001</v>
      </c>
      <c r="K70" s="14">
        <v>21.914089579999999</v>
      </c>
      <c r="L70" s="16">
        <v>1.7422257999999999</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(3210/B72*100)</f>
        <v>82.540498842890202</v>
      </c>
      <c r="D72" s="15">
        <v>679</v>
      </c>
      <c r="E72" s="14">
        <v>43.141557339999999</v>
      </c>
      <c r="F72" s="16">
        <v>2.09612059</v>
      </c>
      <c r="G72" s="14">
        <v>11.85319469</v>
      </c>
      <c r="H72" s="16">
        <v>1.2162660199999999</v>
      </c>
      <c r="I72" s="14">
        <v>28.438242679999998</v>
      </c>
      <c r="J72" s="16">
        <v>1.7783945699999999</v>
      </c>
      <c r="K72" s="14">
        <v>16.567005290000001</v>
      </c>
      <c r="L72" s="16">
        <v>1.4778038</v>
      </c>
      <c r="M72" s="14" t="s">
        <v>139</v>
      </c>
      <c r="N72" s="16" t="s">
        <v>139</v>
      </c>
      <c r="O72" s="14">
        <v>0</v>
      </c>
      <c r="P72" s="16">
        <v>0</v>
      </c>
      <c r="Q72" s="14">
        <v>0</v>
      </c>
      <c r="R72" s="16">
        <v>0</v>
      </c>
      <c r="S72" s="14">
        <v>0</v>
      </c>
      <c r="T72" s="16">
        <v>0</v>
      </c>
      <c r="U72" s="14">
        <v>0</v>
      </c>
      <c r="V72" s="16">
        <v>0</v>
      </c>
    </row>
    <row r="73" spans="1:22" x14ac:dyDescent="0.25">
      <c r="A73" s="11" t="s">
        <v>206</v>
      </c>
      <c r="B73" s="13">
        <v>3597</v>
      </c>
      <c r="C73" s="14">
        <f>(3003/B73*100)</f>
        <v>83.486238532110093</v>
      </c>
      <c r="D73" s="15">
        <v>594</v>
      </c>
      <c r="E73" s="14">
        <v>45.110802059999997</v>
      </c>
      <c r="F73" s="16">
        <v>2.5084386300000001</v>
      </c>
      <c r="G73" s="14">
        <v>12.63427182</v>
      </c>
      <c r="H73" s="16">
        <v>1.84981832</v>
      </c>
      <c r="I73" s="14">
        <v>24.117206060000001</v>
      </c>
      <c r="J73" s="16">
        <v>2.2470834100000001</v>
      </c>
      <c r="K73" s="14">
        <v>18.137720049999999</v>
      </c>
      <c r="L73" s="16">
        <v>2.01376321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(2046/B75*100)</f>
        <v>85.037406483790519</v>
      </c>
      <c r="D75" s="15">
        <v>360</v>
      </c>
      <c r="E75" s="14">
        <v>72.163984540000001</v>
      </c>
      <c r="F75" s="16">
        <v>2.4511897399999998</v>
      </c>
      <c r="G75" s="14">
        <v>11.66338994</v>
      </c>
      <c r="H75" s="16">
        <v>1.90779016</v>
      </c>
      <c r="I75" s="14">
        <v>14.25458306</v>
      </c>
      <c r="J75" s="16">
        <v>1.9950046800000001</v>
      </c>
      <c r="K75" s="14">
        <v>1.9180424700000001</v>
      </c>
      <c r="L75" s="16">
        <v>0.66821998000000005</v>
      </c>
      <c r="M75" s="14" t="s">
        <v>139</v>
      </c>
      <c r="N75" s="16" t="s">
        <v>139</v>
      </c>
      <c r="O75" s="14">
        <v>0</v>
      </c>
      <c r="P75" s="16">
        <v>0</v>
      </c>
      <c r="Q75" s="14">
        <v>0</v>
      </c>
      <c r="R75" s="16">
        <v>0</v>
      </c>
      <c r="S75" s="14">
        <v>0</v>
      </c>
      <c r="T75" s="16">
        <v>0</v>
      </c>
      <c r="U75" s="14">
        <v>0</v>
      </c>
      <c r="V75" s="16">
        <v>0</v>
      </c>
    </row>
    <row r="76" spans="1:22" x14ac:dyDescent="0.25">
      <c r="A76" s="11" t="s">
        <v>209</v>
      </c>
      <c r="B76" s="13">
        <v>7052</v>
      </c>
      <c r="C76" s="14">
        <f>(5868/B76*100)</f>
        <v>83.210436755530353</v>
      </c>
      <c r="D76" s="15">
        <v>1184</v>
      </c>
      <c r="E76" s="14">
        <v>55.108765830000003</v>
      </c>
      <c r="F76" s="16">
        <v>1.6518363300000001</v>
      </c>
      <c r="G76" s="14">
        <v>17.617628759999999</v>
      </c>
      <c r="H76" s="16">
        <v>1.3091930899999999</v>
      </c>
      <c r="I76" s="14">
        <v>18.912388790000001</v>
      </c>
      <c r="J76" s="16">
        <v>1.5452073799999999</v>
      </c>
      <c r="K76" s="14">
        <v>8.3612166200000004</v>
      </c>
      <c r="L76" s="16">
        <v>0.95202657999999996</v>
      </c>
      <c r="M76" s="14" t="s">
        <v>139</v>
      </c>
      <c r="N76" s="16" t="s">
        <v>139</v>
      </c>
      <c r="O76" s="14">
        <v>0</v>
      </c>
      <c r="P76" s="16">
        <v>0</v>
      </c>
      <c r="Q76" s="14">
        <v>0</v>
      </c>
      <c r="R76" s="16">
        <v>0</v>
      </c>
      <c r="S76" s="14">
        <v>0</v>
      </c>
      <c r="T76" s="16">
        <v>0</v>
      </c>
      <c r="U76" s="14">
        <v>0</v>
      </c>
      <c r="V76" s="16">
        <v>0</v>
      </c>
    </row>
    <row r="77" spans="1:22" x14ac:dyDescent="0.25">
      <c r="A77" s="11" t="s">
        <v>210</v>
      </c>
      <c r="B77" s="13">
        <v>2908</v>
      </c>
      <c r="C77" s="14">
        <f>(2466/B77*100)</f>
        <v>84.800550206327372</v>
      </c>
      <c r="D77" s="15">
        <v>442</v>
      </c>
      <c r="E77" s="14">
        <v>64.450378420000007</v>
      </c>
      <c r="F77" s="16">
        <v>2.2955494500000002</v>
      </c>
      <c r="G77" s="14">
        <v>14.456993300000001</v>
      </c>
      <c r="H77" s="16">
        <v>1.6147642099999999</v>
      </c>
      <c r="I77" s="14">
        <v>15.822677349999999</v>
      </c>
      <c r="J77" s="16">
        <v>1.72646225</v>
      </c>
      <c r="K77" s="14">
        <v>5.2699509300000003</v>
      </c>
      <c r="L77" s="16">
        <v>1.02464636</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(3457/B81*100)</f>
        <v>83.041076147009363</v>
      </c>
      <c r="D81" s="15">
        <v>706</v>
      </c>
      <c r="E81" s="14">
        <v>49.03146666</v>
      </c>
      <c r="F81" s="16">
        <v>2.4864881300000001</v>
      </c>
      <c r="G81" s="14">
        <v>13.30931696</v>
      </c>
      <c r="H81" s="16">
        <v>1.6144603399999999</v>
      </c>
      <c r="I81" s="14">
        <v>25.376096310000001</v>
      </c>
      <c r="J81" s="16">
        <v>1.94833137</v>
      </c>
      <c r="K81" s="14">
        <v>12.283120070000001</v>
      </c>
      <c r="L81" s="16">
        <v>1.57763834</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317</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(6156/B7*100)</f>
        <v>83.561829781457845</v>
      </c>
      <c r="D7" s="15">
        <v>1211</v>
      </c>
      <c r="E7" s="14">
        <v>8.0688711899999994</v>
      </c>
      <c r="F7" s="16">
        <v>0.93515702999999994</v>
      </c>
      <c r="G7" s="14">
        <v>62.338580350000001</v>
      </c>
      <c r="H7" s="16">
        <v>1.64327771</v>
      </c>
      <c r="I7" s="14">
        <v>29.59254846</v>
      </c>
      <c r="J7" s="16">
        <v>1.5071386099999999</v>
      </c>
      <c r="K7" s="14" t="s">
        <v>139</v>
      </c>
      <c r="L7" s="16" t="s">
        <v>139</v>
      </c>
      <c r="M7" s="14">
        <v>0</v>
      </c>
      <c r="N7" s="16">
        <v>0</v>
      </c>
      <c r="O7" s="14">
        <v>0</v>
      </c>
      <c r="P7" s="16">
        <v>0</v>
      </c>
      <c r="Q7" s="14">
        <v>0</v>
      </c>
      <c r="R7" s="16">
        <v>0</v>
      </c>
      <c r="S7" s="14">
        <v>0</v>
      </c>
      <c r="T7" s="16">
        <v>0</v>
      </c>
    </row>
    <row r="8" spans="1:20" x14ac:dyDescent="0.25">
      <c r="A8" s="11" t="s">
        <v>140</v>
      </c>
      <c r="B8" s="13">
        <v>3564</v>
      </c>
      <c r="C8" s="14">
        <f>(2953/B8*100)</f>
        <v>82.856341189674524</v>
      </c>
      <c r="D8" s="15">
        <v>611</v>
      </c>
      <c r="E8" s="14">
        <v>6.9815851599999998</v>
      </c>
      <c r="F8" s="16">
        <v>1.1122641499999999</v>
      </c>
      <c r="G8" s="14">
        <v>69.935192200000003</v>
      </c>
      <c r="H8" s="16">
        <v>1.8885638300000001</v>
      </c>
      <c r="I8" s="14">
        <v>23.083222639999999</v>
      </c>
      <c r="J8" s="16">
        <v>2.0613431699999998</v>
      </c>
      <c r="K8" s="14" t="s">
        <v>139</v>
      </c>
      <c r="L8" s="16" t="s">
        <v>139</v>
      </c>
      <c r="M8" s="14">
        <v>0</v>
      </c>
      <c r="N8" s="16">
        <v>0</v>
      </c>
      <c r="O8" s="14">
        <v>0</v>
      </c>
      <c r="P8" s="16">
        <v>0</v>
      </c>
      <c r="Q8" s="14">
        <v>0</v>
      </c>
      <c r="R8" s="16">
        <v>0</v>
      </c>
      <c r="S8" s="14">
        <v>0</v>
      </c>
      <c r="T8" s="16">
        <v>0</v>
      </c>
    </row>
    <row r="9" spans="1:20" x14ac:dyDescent="0.25">
      <c r="A9" s="11" t="s">
        <v>141</v>
      </c>
      <c r="B9" s="13">
        <v>4899</v>
      </c>
      <c r="C9" s="14">
        <f>(4101/B9*100)</f>
        <v>83.710961420698098</v>
      </c>
      <c r="D9" s="15">
        <v>798</v>
      </c>
      <c r="E9" s="14">
        <v>5.2928728899999999</v>
      </c>
      <c r="F9" s="16">
        <v>0.85316641999999998</v>
      </c>
      <c r="G9" s="14">
        <v>76.89110239</v>
      </c>
      <c r="H9" s="16">
        <v>1.7164224800000001</v>
      </c>
      <c r="I9" s="14">
        <v>17.816024710000001</v>
      </c>
      <c r="J9" s="16">
        <v>1.60471111</v>
      </c>
      <c r="K9" s="14" t="s">
        <v>139</v>
      </c>
      <c r="L9" s="16" t="s">
        <v>139</v>
      </c>
      <c r="M9" s="14">
        <v>0</v>
      </c>
      <c r="N9" s="16">
        <v>0</v>
      </c>
      <c r="O9" s="14">
        <v>0</v>
      </c>
      <c r="P9" s="16">
        <v>0</v>
      </c>
      <c r="Q9" s="14">
        <v>0</v>
      </c>
      <c r="R9" s="16">
        <v>0</v>
      </c>
      <c r="S9" s="14">
        <v>0</v>
      </c>
      <c r="T9" s="16">
        <v>0</v>
      </c>
    </row>
    <row r="10" spans="1:20" x14ac:dyDescent="0.25">
      <c r="A10" s="11" t="s">
        <v>142</v>
      </c>
      <c r="B10" s="13">
        <v>10036</v>
      </c>
      <c r="C10" s="14">
        <f>(8359/B10*100)</f>
        <v>83.290155440414509</v>
      </c>
      <c r="D10" s="15">
        <v>1677</v>
      </c>
      <c r="E10" s="14">
        <v>7.5196902100000003</v>
      </c>
      <c r="F10" s="16">
        <v>0.78405495000000003</v>
      </c>
      <c r="G10" s="14">
        <v>64.954006100000001</v>
      </c>
      <c r="H10" s="16">
        <v>1.41104517</v>
      </c>
      <c r="I10" s="14">
        <v>27.5263037</v>
      </c>
      <c r="J10" s="16">
        <v>1.3968219799999999</v>
      </c>
      <c r="K10" s="14" t="s">
        <v>139</v>
      </c>
      <c r="L10" s="16" t="s">
        <v>139</v>
      </c>
      <c r="M10" s="14">
        <v>0</v>
      </c>
      <c r="N10" s="16">
        <v>0</v>
      </c>
      <c r="O10" s="14">
        <v>0</v>
      </c>
      <c r="P10" s="16">
        <v>0</v>
      </c>
      <c r="Q10" s="14">
        <v>0</v>
      </c>
      <c r="R10" s="16">
        <v>0</v>
      </c>
      <c r="S10" s="14">
        <v>0</v>
      </c>
      <c r="T10" s="16">
        <v>0</v>
      </c>
    </row>
    <row r="11" spans="1:20" x14ac:dyDescent="0.25">
      <c r="A11" s="11" t="s">
        <v>143</v>
      </c>
      <c r="B11" s="13">
        <v>3553</v>
      </c>
      <c r="C11" s="14">
        <f>(2964/B11*100)</f>
        <v>83.422459893048128</v>
      </c>
      <c r="D11" s="15">
        <v>589</v>
      </c>
      <c r="E11" s="14">
        <v>7.8742055999999998</v>
      </c>
      <c r="F11" s="16">
        <v>1.28545603</v>
      </c>
      <c r="G11" s="14">
        <v>70.640546369999996</v>
      </c>
      <c r="H11" s="16">
        <v>2.1018534299999998</v>
      </c>
      <c r="I11" s="14">
        <v>21.485248030000001</v>
      </c>
      <c r="J11" s="16">
        <v>1.7708559399999999</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(2865/B12*100)</f>
        <v>82.517281105990776</v>
      </c>
      <c r="D12" s="15">
        <v>607</v>
      </c>
      <c r="E12" s="14">
        <v>8.2673902699999999</v>
      </c>
      <c r="F12" s="16">
        <v>0.98183695000000004</v>
      </c>
      <c r="G12" s="14">
        <v>72.287409550000007</v>
      </c>
      <c r="H12" s="16">
        <v>1.70968067</v>
      </c>
      <c r="I12" s="14">
        <v>19.445200180000001</v>
      </c>
      <c r="J12" s="16">
        <v>1.56769727</v>
      </c>
      <c r="K12" s="14" t="s">
        <v>139</v>
      </c>
      <c r="L12" s="16" t="s">
        <v>139</v>
      </c>
      <c r="M12" s="14">
        <v>0</v>
      </c>
      <c r="N12" s="16">
        <v>0</v>
      </c>
      <c r="O12" s="14">
        <v>0</v>
      </c>
      <c r="P12" s="16">
        <v>0</v>
      </c>
      <c r="Q12" s="14">
        <v>0</v>
      </c>
      <c r="R12" s="16">
        <v>0</v>
      </c>
      <c r="S12" s="14">
        <v>0</v>
      </c>
      <c r="T12" s="16">
        <v>0</v>
      </c>
    </row>
    <row r="13" spans="1:20" x14ac:dyDescent="0.25">
      <c r="A13" s="11" t="s">
        <v>145</v>
      </c>
      <c r="B13" s="13">
        <v>3559</v>
      </c>
      <c r="C13" s="14">
        <f>(3005/B13*100)</f>
        <v>84.433829727451524</v>
      </c>
      <c r="D13" s="15">
        <v>554</v>
      </c>
      <c r="E13" s="14">
        <v>4.6127813700000004</v>
      </c>
      <c r="F13" s="16">
        <v>0.88168917000000002</v>
      </c>
      <c r="G13" s="14">
        <v>72.923171310000001</v>
      </c>
      <c r="H13" s="16">
        <v>2.4482651600000001</v>
      </c>
      <c r="I13" s="14">
        <v>22.46404733</v>
      </c>
      <c r="J13" s="16">
        <v>2.1740083600000002</v>
      </c>
      <c r="K13" s="14" t="s">
        <v>139</v>
      </c>
      <c r="L13" s="16" t="s">
        <v>139</v>
      </c>
      <c r="M13" s="14">
        <v>0</v>
      </c>
      <c r="N13" s="16">
        <v>0</v>
      </c>
      <c r="O13" s="14">
        <v>0</v>
      </c>
      <c r="P13" s="16">
        <v>0</v>
      </c>
      <c r="Q13" s="14">
        <v>0</v>
      </c>
      <c r="R13" s="16">
        <v>0</v>
      </c>
      <c r="S13" s="14">
        <v>0</v>
      </c>
      <c r="T13" s="16">
        <v>0</v>
      </c>
    </row>
    <row r="14" spans="1:20" x14ac:dyDescent="0.25">
      <c r="A14" s="11" t="s">
        <v>146</v>
      </c>
      <c r="B14" s="13">
        <v>2799</v>
      </c>
      <c r="C14" s="14">
        <f>(2321/B14*100)</f>
        <v>82.922472311539835</v>
      </c>
      <c r="D14" s="15">
        <v>478</v>
      </c>
      <c r="E14" s="14">
        <v>2.8554414399999999</v>
      </c>
      <c r="F14" s="16">
        <v>0.82619960000000003</v>
      </c>
      <c r="G14" s="14">
        <v>72.452798759999993</v>
      </c>
      <c r="H14" s="16">
        <v>2.4532094400000002</v>
      </c>
      <c r="I14" s="14">
        <v>24.6917598</v>
      </c>
      <c r="J14" s="16">
        <v>2.2507962099999999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(2509/B15*100)</f>
        <v>83.10698906922822</v>
      </c>
      <c r="D15" s="15">
        <v>510</v>
      </c>
      <c r="E15" s="14">
        <v>3.8472330399999999</v>
      </c>
      <c r="F15" s="16">
        <v>0.88878413999999994</v>
      </c>
      <c r="G15" s="14">
        <v>65.619597279999994</v>
      </c>
      <c r="H15" s="16">
        <v>2.2923546099999998</v>
      </c>
      <c r="I15" s="14">
        <v>30.533169669999999</v>
      </c>
      <c r="J15" s="16">
        <v>2.3473948099999999</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(2517/B16*100)</f>
        <v>83.983983983983975</v>
      </c>
      <c r="D16" s="15">
        <v>480</v>
      </c>
      <c r="E16" s="14">
        <v>7.11551212</v>
      </c>
      <c r="F16" s="16">
        <v>1.2147683499999999</v>
      </c>
      <c r="G16" s="14">
        <v>72.561348980000005</v>
      </c>
      <c r="H16" s="16">
        <v>2.24524597</v>
      </c>
      <c r="I16" s="14">
        <v>20.3231389</v>
      </c>
      <c r="J16" s="16">
        <v>1.92623601</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(2793/B17*100)</f>
        <v>84.457211974599332</v>
      </c>
      <c r="D17" s="15">
        <v>514</v>
      </c>
      <c r="E17" s="14">
        <v>5.3473762699999998</v>
      </c>
      <c r="F17" s="16">
        <v>0.95696999000000005</v>
      </c>
      <c r="G17" s="14">
        <v>72.933478370000003</v>
      </c>
      <c r="H17" s="16">
        <v>1.7511810800000001</v>
      </c>
      <c r="I17" s="14">
        <v>21.719145359999999</v>
      </c>
      <c r="J17" s="16">
        <v>1.5139518599999999</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(2348/B18*100)</f>
        <v>83.08563340410474</v>
      </c>
      <c r="D18" s="15">
        <v>478</v>
      </c>
      <c r="E18" s="14">
        <v>10.35300979</v>
      </c>
      <c r="F18" s="16">
        <v>1.73279033</v>
      </c>
      <c r="G18" s="14">
        <v>78.063831280000002</v>
      </c>
      <c r="H18" s="16">
        <v>2.0419430699999999</v>
      </c>
      <c r="I18" s="14">
        <v>11.58315893</v>
      </c>
      <c r="J18" s="16">
        <v>1.6026266899999999</v>
      </c>
      <c r="K18" s="14" t="s">
        <v>139</v>
      </c>
      <c r="L18" s="16" t="s">
        <v>139</v>
      </c>
      <c r="M18" s="14">
        <v>0</v>
      </c>
      <c r="N18" s="16">
        <v>0</v>
      </c>
      <c r="O18" s="14">
        <v>0</v>
      </c>
      <c r="P18" s="16">
        <v>0</v>
      </c>
      <c r="Q18" s="14">
        <v>0</v>
      </c>
      <c r="R18" s="16">
        <v>0</v>
      </c>
      <c r="S18" s="14">
        <v>0</v>
      </c>
      <c r="T18" s="16">
        <v>0</v>
      </c>
    </row>
    <row r="19" spans="1:20" x14ac:dyDescent="0.25">
      <c r="A19" s="11" t="s">
        <v>151</v>
      </c>
      <c r="B19" s="13">
        <v>2808</v>
      </c>
      <c r="C19" s="14">
        <f>(2341/B19*100)</f>
        <v>83.368945868945872</v>
      </c>
      <c r="D19" s="15">
        <v>467</v>
      </c>
      <c r="E19" s="14">
        <v>4.4470206299999999</v>
      </c>
      <c r="F19" s="16">
        <v>0.91275596999999997</v>
      </c>
      <c r="G19" s="14">
        <v>81.699632679999993</v>
      </c>
      <c r="H19" s="16">
        <v>2.00978257</v>
      </c>
      <c r="I19" s="14">
        <v>13.85334669</v>
      </c>
      <c r="J19" s="16">
        <v>1.8703197899999999</v>
      </c>
      <c r="K19" s="14" t="s">
        <v>139</v>
      </c>
      <c r="L19" s="16" t="s">
        <v>139</v>
      </c>
      <c r="M19" s="14">
        <v>0</v>
      </c>
      <c r="N19" s="16">
        <v>0</v>
      </c>
      <c r="O19" s="14">
        <v>0</v>
      </c>
      <c r="P19" s="16">
        <v>0</v>
      </c>
      <c r="Q19" s="14">
        <v>0</v>
      </c>
      <c r="R19" s="16">
        <v>0</v>
      </c>
      <c r="S19" s="14">
        <v>0</v>
      </c>
      <c r="T19" s="16">
        <v>0</v>
      </c>
    </row>
    <row r="20" spans="1:20" x14ac:dyDescent="0.25">
      <c r="A20" s="11" t="s">
        <v>152</v>
      </c>
      <c r="B20" s="13">
        <v>1630</v>
      </c>
      <c r="C20" s="14">
        <f>(1364/B20*100)</f>
        <v>83.680981595092035</v>
      </c>
      <c r="D20" s="15">
        <v>266</v>
      </c>
      <c r="E20" s="14">
        <v>7.5619274599999997</v>
      </c>
      <c r="F20" s="16">
        <v>1.8424745600000001</v>
      </c>
      <c r="G20" s="14">
        <v>72.468187720000003</v>
      </c>
      <c r="H20" s="16">
        <v>2.9375991799999999</v>
      </c>
      <c r="I20" s="14">
        <v>19.96988481</v>
      </c>
      <c r="J20" s="16">
        <v>2.6452092999999999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(2446/B22*100)</f>
        <v>83.452746502900027</v>
      </c>
      <c r="D22" s="15">
        <v>485</v>
      </c>
      <c r="E22" s="14">
        <v>11.30794244</v>
      </c>
      <c r="F22" s="16">
        <v>1.57079857</v>
      </c>
      <c r="G22" s="14">
        <v>68.978444150000001</v>
      </c>
      <c r="H22" s="16">
        <v>2.16083092</v>
      </c>
      <c r="I22" s="14">
        <v>19.713613410000001</v>
      </c>
      <c r="J22" s="16">
        <v>1.82203498</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(4797/B23*100)</f>
        <v>82.835434294595061</v>
      </c>
      <c r="D23" s="15">
        <v>994</v>
      </c>
      <c r="E23" s="14">
        <v>6.8859805700000001</v>
      </c>
      <c r="F23" s="16">
        <v>1.1683042800000001</v>
      </c>
      <c r="G23" s="14">
        <v>76.230652300000003</v>
      </c>
      <c r="H23" s="16">
        <v>1.6308993599999999</v>
      </c>
      <c r="I23" s="14">
        <v>16.883367140000001</v>
      </c>
      <c r="J23" s="16">
        <v>1.51224687</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(2777/B24*100)</f>
        <v>83.193529059316944</v>
      </c>
      <c r="D24" s="15">
        <v>561</v>
      </c>
      <c r="E24" s="14">
        <v>9.8016346199999997</v>
      </c>
      <c r="F24" s="16">
        <v>1.41314841</v>
      </c>
      <c r="G24" s="14">
        <v>63.818028609999999</v>
      </c>
      <c r="H24" s="16">
        <v>2.1103928500000002</v>
      </c>
      <c r="I24" s="14">
        <v>26.38033677</v>
      </c>
      <c r="J24" s="16">
        <v>1.87936181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11.64143561</v>
      </c>
      <c r="F25" s="16">
        <v>1.37120314</v>
      </c>
      <c r="G25" s="14">
        <v>55.352303560000003</v>
      </c>
      <c r="H25" s="16">
        <v>1.6101103999999999</v>
      </c>
      <c r="I25" s="14">
        <v>33.006260830000002</v>
      </c>
      <c r="J25" s="16">
        <v>2.01154067</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(2044/B26*100)</f>
        <v>83.428571428571431</v>
      </c>
      <c r="D26" s="15">
        <v>406</v>
      </c>
      <c r="E26" s="14">
        <v>5.7240881100000003</v>
      </c>
      <c r="F26" s="16">
        <v>1.28146084</v>
      </c>
      <c r="G26" s="14">
        <v>81.587680910000003</v>
      </c>
      <c r="H26" s="16">
        <v>2.1922863000000001</v>
      </c>
      <c r="I26" s="14">
        <v>12.68823098</v>
      </c>
      <c r="J26" s="16">
        <v>1.75228597</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(2189/B27*100)</f>
        <v>83.677370030581045</v>
      </c>
      <c r="D27" s="15">
        <v>427</v>
      </c>
      <c r="E27" s="14">
        <v>8.9360042600000007</v>
      </c>
      <c r="F27" s="16">
        <v>1.23762287</v>
      </c>
      <c r="G27" s="14">
        <v>76.112590299999994</v>
      </c>
      <c r="H27" s="16">
        <v>1.8775394400000001</v>
      </c>
      <c r="I27" s="14">
        <v>14.95140544</v>
      </c>
      <c r="J27" s="16">
        <v>1.64434149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(3164/B28*100)</f>
        <v>84.037184594953516</v>
      </c>
      <c r="D28" s="15">
        <v>601</v>
      </c>
      <c r="E28" s="14">
        <v>6.7786940800000002</v>
      </c>
      <c r="F28" s="16">
        <v>1.12143053</v>
      </c>
      <c r="G28" s="14">
        <v>78.283582780000003</v>
      </c>
      <c r="H28" s="16">
        <v>1.7521751800000001</v>
      </c>
      <c r="I28" s="14">
        <v>14.93772315</v>
      </c>
      <c r="J28" s="16">
        <v>1.72475003</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4.5574311200000004</v>
      </c>
      <c r="F29" s="16">
        <v>1.16584961</v>
      </c>
      <c r="G29" s="14">
        <v>70.116276339999999</v>
      </c>
      <c r="H29" s="16">
        <v>2.0335340300000002</v>
      </c>
      <c r="I29" s="14">
        <v>25.32629253</v>
      </c>
      <c r="J29" s="16">
        <v>1.8033089600000001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(1891/B30*100)</f>
        <v>83.561643835616437</v>
      </c>
      <c r="D30" s="15">
        <v>372</v>
      </c>
      <c r="E30" s="14">
        <v>9.1092463800000001</v>
      </c>
      <c r="F30" s="16">
        <v>1.34114285</v>
      </c>
      <c r="G30" s="14">
        <v>64.781445439999999</v>
      </c>
      <c r="H30" s="16">
        <v>2.60252953</v>
      </c>
      <c r="I30" s="14">
        <v>26.109308179999999</v>
      </c>
      <c r="J30" s="16">
        <v>2.3821042000000001</v>
      </c>
      <c r="K30" s="14" t="s">
        <v>139</v>
      </c>
      <c r="L30" s="16" t="s">
        <v>139</v>
      </c>
      <c r="M30" s="14">
        <v>0</v>
      </c>
      <c r="N30" s="16">
        <v>0</v>
      </c>
      <c r="O30" s="14">
        <v>0</v>
      </c>
      <c r="P30" s="16">
        <v>0</v>
      </c>
      <c r="Q30" s="14">
        <v>0</v>
      </c>
      <c r="R30" s="16">
        <v>0</v>
      </c>
      <c r="S30" s="14">
        <v>0</v>
      </c>
      <c r="T30" s="16">
        <v>0</v>
      </c>
    </row>
    <row r="31" spans="1:20" x14ac:dyDescent="0.25">
      <c r="A31" s="11" t="s">
        <v>164</v>
      </c>
      <c r="B31" s="13">
        <v>2750</v>
      </c>
      <c r="C31" s="14">
        <f>(2300/B31*100)</f>
        <v>83.636363636363626</v>
      </c>
      <c r="D31" s="15">
        <v>450</v>
      </c>
      <c r="E31" s="14">
        <v>3.6536010600000002</v>
      </c>
      <c r="F31" s="16">
        <v>0.84210026000000004</v>
      </c>
      <c r="G31" s="14">
        <v>71.213296040000003</v>
      </c>
      <c r="H31" s="16">
        <v>2.2185297799999999</v>
      </c>
      <c r="I31" s="14">
        <v>25.133102900000001</v>
      </c>
      <c r="J31" s="16">
        <v>2.07674694</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(3068/B33*100)</f>
        <v>83.505715841045173</v>
      </c>
      <c r="D33" s="15">
        <v>606</v>
      </c>
      <c r="E33" s="14">
        <v>7.2038270899999999</v>
      </c>
      <c r="F33" s="16">
        <v>1.1146811700000001</v>
      </c>
      <c r="G33" s="14">
        <v>73.127540659999994</v>
      </c>
      <c r="H33" s="16">
        <v>1.8486026799999999</v>
      </c>
      <c r="I33" s="14">
        <v>19.668632240000001</v>
      </c>
      <c r="J33" s="16">
        <v>1.6407066299999999</v>
      </c>
      <c r="K33" s="14" t="s">
        <v>139</v>
      </c>
      <c r="L33" s="16" t="s">
        <v>139</v>
      </c>
      <c r="M33" s="14">
        <v>0</v>
      </c>
      <c r="N33" s="16">
        <v>0</v>
      </c>
      <c r="O33" s="14">
        <v>0</v>
      </c>
      <c r="P33" s="16">
        <v>0</v>
      </c>
      <c r="Q33" s="14">
        <v>0</v>
      </c>
      <c r="R33" s="16">
        <v>0</v>
      </c>
      <c r="S33" s="14">
        <v>0</v>
      </c>
      <c r="T33" s="16">
        <v>0</v>
      </c>
    </row>
    <row r="34" spans="1:20" x14ac:dyDescent="0.25">
      <c r="A34" s="11" t="s">
        <v>167</v>
      </c>
      <c r="B34" s="13">
        <v>3315</v>
      </c>
      <c r="C34" s="14">
        <f>(2773/B34*100)</f>
        <v>83.650075414781298</v>
      </c>
      <c r="D34" s="15">
        <v>542</v>
      </c>
      <c r="E34" s="14">
        <v>9.0263102800000006</v>
      </c>
      <c r="F34" s="16">
        <v>1.2434493799999999</v>
      </c>
      <c r="G34" s="14">
        <v>80.619461619999996</v>
      </c>
      <c r="H34" s="16">
        <v>1.8677998200000001</v>
      </c>
      <c r="I34" s="14">
        <v>10.3542281</v>
      </c>
      <c r="J34" s="16">
        <v>1.4237308</v>
      </c>
      <c r="K34" s="14" t="s">
        <v>139</v>
      </c>
      <c r="L34" s="16" t="s">
        <v>139</v>
      </c>
      <c r="M34" s="14">
        <v>0</v>
      </c>
      <c r="N34" s="16">
        <v>0</v>
      </c>
      <c r="O34" s="14">
        <v>0</v>
      </c>
      <c r="P34" s="16">
        <v>0</v>
      </c>
      <c r="Q34" s="14">
        <v>0</v>
      </c>
      <c r="R34" s="16">
        <v>0</v>
      </c>
      <c r="S34" s="14">
        <v>0</v>
      </c>
      <c r="T34" s="16">
        <v>0</v>
      </c>
    </row>
    <row r="35" spans="1:20" x14ac:dyDescent="0.25">
      <c r="A35" s="11" t="s">
        <v>168</v>
      </c>
      <c r="B35" s="13">
        <v>3505</v>
      </c>
      <c r="C35" s="14">
        <f>(2930/B35*100)</f>
        <v>83.594864479315262</v>
      </c>
      <c r="D35" s="15">
        <v>575</v>
      </c>
      <c r="E35" s="14">
        <v>7.0273405799999997</v>
      </c>
      <c r="F35" s="16">
        <v>1.28028499</v>
      </c>
      <c r="G35" s="14">
        <v>74.138403499999995</v>
      </c>
      <c r="H35" s="16">
        <v>2.2063377700000002</v>
      </c>
      <c r="I35" s="14">
        <v>18.83425592</v>
      </c>
      <c r="J35" s="16">
        <v>2.0705114099999999</v>
      </c>
      <c r="K35" s="14" t="s">
        <v>139</v>
      </c>
      <c r="L35" s="16" t="s">
        <v>139</v>
      </c>
      <c r="M35" s="14">
        <v>0</v>
      </c>
      <c r="N35" s="16">
        <v>0</v>
      </c>
      <c r="O35" s="14">
        <v>0</v>
      </c>
      <c r="P35" s="16">
        <v>0</v>
      </c>
      <c r="Q35" s="14">
        <v>0</v>
      </c>
      <c r="R35" s="16">
        <v>0</v>
      </c>
      <c r="S35" s="14">
        <v>0</v>
      </c>
      <c r="T35" s="16">
        <v>0</v>
      </c>
    </row>
    <row r="36" spans="1:20" x14ac:dyDescent="0.25">
      <c r="A36" s="11" t="s">
        <v>169</v>
      </c>
      <c r="B36" s="13">
        <v>3332</v>
      </c>
      <c r="C36" s="14">
        <f>(2767/B36*100)</f>
        <v>83.043217286914768</v>
      </c>
      <c r="D36" s="15">
        <v>565</v>
      </c>
      <c r="E36" s="14">
        <v>5.82174221</v>
      </c>
      <c r="F36" s="16">
        <v>1.0511006000000001</v>
      </c>
      <c r="G36" s="14">
        <v>66.499049200000002</v>
      </c>
      <c r="H36" s="16">
        <v>2.0467506000000002</v>
      </c>
      <c r="I36" s="14">
        <v>27.679208589999998</v>
      </c>
      <c r="J36" s="16">
        <v>1.8134379899999999</v>
      </c>
      <c r="K36" s="14" t="s">
        <v>139</v>
      </c>
      <c r="L36" s="16" t="s">
        <v>139</v>
      </c>
      <c r="M36" s="14">
        <v>0</v>
      </c>
      <c r="N36" s="16">
        <v>0</v>
      </c>
      <c r="O36" s="14">
        <v>0</v>
      </c>
      <c r="P36" s="16">
        <v>0</v>
      </c>
      <c r="Q36" s="14">
        <v>0</v>
      </c>
      <c r="R36" s="16">
        <v>0</v>
      </c>
      <c r="S36" s="14">
        <v>0</v>
      </c>
      <c r="T36" s="16">
        <v>0</v>
      </c>
    </row>
    <row r="37" spans="1:20" x14ac:dyDescent="0.25">
      <c r="A37" s="11" t="s">
        <v>170</v>
      </c>
      <c r="B37" s="13">
        <v>2727</v>
      </c>
      <c r="C37" s="14">
        <f>(2291/B37*100)</f>
        <v>84.011734506784009</v>
      </c>
      <c r="D37" s="15">
        <v>436</v>
      </c>
      <c r="E37" s="14">
        <v>8.0104017600000006</v>
      </c>
      <c r="F37" s="16">
        <v>1.5314790700000001</v>
      </c>
      <c r="G37" s="14">
        <v>64.801167980000002</v>
      </c>
      <c r="H37" s="16">
        <v>2.4947069800000001</v>
      </c>
      <c r="I37" s="14">
        <v>27.188430260000001</v>
      </c>
      <c r="J37" s="16">
        <v>2.32374262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10.33674394</v>
      </c>
      <c r="F39" s="16">
        <v>1.8077548699999999</v>
      </c>
      <c r="G39" s="14">
        <v>78.656678979999995</v>
      </c>
      <c r="H39" s="16">
        <v>2.5857163399999998</v>
      </c>
      <c r="I39" s="14">
        <v>11.006577070000001</v>
      </c>
      <c r="J39" s="16">
        <v>1.87075966</v>
      </c>
      <c r="K39" s="14" t="s">
        <v>139</v>
      </c>
      <c r="L39" s="16" t="s">
        <v>139</v>
      </c>
      <c r="M39" s="14">
        <v>0</v>
      </c>
      <c r="N39" s="16">
        <v>0</v>
      </c>
      <c r="O39" s="14">
        <v>0</v>
      </c>
      <c r="P39" s="16">
        <v>0</v>
      </c>
      <c r="Q39" s="14">
        <v>0</v>
      </c>
      <c r="R39" s="16">
        <v>0</v>
      </c>
      <c r="S39" s="14">
        <v>0</v>
      </c>
      <c r="T39" s="16">
        <v>0</v>
      </c>
    </row>
    <row r="40" spans="1:20" x14ac:dyDescent="0.25">
      <c r="A40" s="11" t="s">
        <v>173</v>
      </c>
      <c r="B40" s="13">
        <v>7235</v>
      </c>
      <c r="C40" s="14">
        <f>(6010/B40*100)</f>
        <v>83.068417415342083</v>
      </c>
      <c r="D40" s="15">
        <v>1225</v>
      </c>
      <c r="E40" s="14">
        <v>8.6755650000000006</v>
      </c>
      <c r="F40" s="16">
        <v>1.35243991</v>
      </c>
      <c r="G40" s="14">
        <v>61.480311739999998</v>
      </c>
      <c r="H40" s="16">
        <v>2.0281945299999999</v>
      </c>
      <c r="I40" s="14">
        <v>29.84412326</v>
      </c>
      <c r="J40" s="16">
        <v>2.0569951199999998</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(2387/B41*100)</f>
        <v>83.519944016794966</v>
      </c>
      <c r="D41" s="15">
        <v>471</v>
      </c>
      <c r="E41" s="14">
        <v>13.35689217</v>
      </c>
      <c r="F41" s="16">
        <v>1.61577193</v>
      </c>
      <c r="G41" s="14">
        <v>63.252356499999998</v>
      </c>
      <c r="H41" s="16">
        <v>2.3617261900000002</v>
      </c>
      <c r="I41" s="14">
        <v>23.390751340000001</v>
      </c>
      <c r="J41" s="16">
        <v>2.1772906299999999</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83.418849594780681</v>
      </c>
      <c r="D42" s="15">
        <f>IF(COUNT(D7:D41) &gt; 0, AVERAGE(D7:D41), "—")</f>
        <v>606.78125</v>
      </c>
      <c r="E42" s="14">
        <f>IF(COUNT(E7:E41) &gt; 0, AVERAGE(E7:E41), "—")</f>
        <v>7.43749371</v>
      </c>
      <c r="F42" s="16">
        <f>IF(COUNT(F7:F41) &gt; 0, SQRT(SUMSQ(F7:F41)/(COUNT(F7:F41)*COUNT(F7:F41)) ), "—")</f>
        <v>0.21994381538829519</v>
      </c>
      <c r="G42" s="14">
        <f>IF(COUNT(G7:G41) &gt; 0, AVERAGE(G7:G41), "—")</f>
        <v>71.088067310937518</v>
      </c>
      <c r="H42" s="16">
        <f>IF(COUNT(H7:H41) &gt; 0, SQRT(SUMSQ(H7:H41)/(COUNT(H7:H41)*COUNT(H7:H41)) ), "—")</f>
        <v>0.37097973358332581</v>
      </c>
      <c r="I42" s="14">
        <f>IF(COUNT(I7:I41) &gt; 0, AVERAGE(I7:I41), "—")</f>
        <v>21.474438978750005</v>
      </c>
      <c r="J42" s="16">
        <f>IF(COUNT(J7:J41) &gt; 0, SQRT(SUMSQ(J7:J41)/(COUNT(J7:J41)*COUNT(J7:J41)) ), "—")</f>
        <v>0.33707778426327395</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(9619/B46*100)</f>
        <v>86.908203830863755</v>
      </c>
      <c r="D46" s="15">
        <v>1449</v>
      </c>
      <c r="E46" s="14">
        <v>9.8094122099999996</v>
      </c>
      <c r="F46" s="16">
        <v>0.90381480000000003</v>
      </c>
      <c r="G46" s="14">
        <v>82.513081310000004</v>
      </c>
      <c r="H46" s="16">
        <v>1.14415307</v>
      </c>
      <c r="I46" s="14">
        <v>7.6775064799999999</v>
      </c>
      <c r="J46" s="16">
        <v>1.00119556</v>
      </c>
      <c r="K46" s="14" t="s">
        <v>139</v>
      </c>
      <c r="L46" s="16" t="s">
        <v>139</v>
      </c>
      <c r="M46" s="14">
        <v>0</v>
      </c>
      <c r="N46" s="16">
        <v>0</v>
      </c>
      <c r="O46" s="14">
        <v>0</v>
      </c>
      <c r="P46" s="16">
        <v>0</v>
      </c>
      <c r="Q46" s="14">
        <v>0</v>
      </c>
      <c r="R46" s="16">
        <v>0</v>
      </c>
      <c r="S46" s="14">
        <v>0</v>
      </c>
      <c r="T46" s="16">
        <v>0</v>
      </c>
    </row>
    <row r="47" spans="1:20" x14ac:dyDescent="0.25">
      <c r="A47" s="11" t="s">
        <v>180</v>
      </c>
      <c r="B47" s="13">
        <v>3105</v>
      </c>
      <c r="C47" s="14">
        <f>(2613/B47*100)</f>
        <v>84.154589371980677</v>
      </c>
      <c r="D47" s="15">
        <v>492</v>
      </c>
      <c r="E47" s="14">
        <v>9.0812906600000005</v>
      </c>
      <c r="F47" s="16">
        <v>1.3377907499999999</v>
      </c>
      <c r="G47" s="14">
        <v>74.725047810000007</v>
      </c>
      <c r="H47" s="16">
        <v>2.2416535099999999</v>
      </c>
      <c r="I47" s="14">
        <v>16.19366153</v>
      </c>
      <c r="J47" s="16">
        <v>1.80483945</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(4290/B48*100)</f>
        <v>83.155650319829419</v>
      </c>
      <c r="D48" s="15">
        <v>869</v>
      </c>
      <c r="E48" s="14">
        <v>7.9170422299999998</v>
      </c>
      <c r="F48" s="16">
        <v>1.2119366300000001</v>
      </c>
      <c r="G48" s="14">
        <v>60.027381499999997</v>
      </c>
      <c r="H48" s="16">
        <v>1.99509355</v>
      </c>
      <c r="I48" s="14">
        <v>32.055576260000002</v>
      </c>
      <c r="J48" s="16">
        <v>1.85923226</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(4699/B50*100)</f>
        <v>83.359943232215713</v>
      </c>
      <c r="D50" s="15">
        <v>938</v>
      </c>
      <c r="E50" s="14">
        <v>10.648849159999999</v>
      </c>
      <c r="F50" s="16">
        <v>1.2810779800000001</v>
      </c>
      <c r="G50" s="14">
        <v>70.652278730000006</v>
      </c>
      <c r="H50" s="16">
        <v>1.77328204</v>
      </c>
      <c r="I50" s="14">
        <v>18.69887211</v>
      </c>
      <c r="J50" s="16">
        <v>1.62320872</v>
      </c>
      <c r="K50" s="14" t="s">
        <v>139</v>
      </c>
      <c r="L50" s="16" t="s">
        <v>139</v>
      </c>
      <c r="M50" s="14">
        <v>0</v>
      </c>
      <c r="N50" s="16">
        <v>0</v>
      </c>
      <c r="O50" s="14">
        <v>0</v>
      </c>
      <c r="P50" s="16">
        <v>0</v>
      </c>
      <c r="Q50" s="14">
        <v>0</v>
      </c>
      <c r="R50" s="16">
        <v>0</v>
      </c>
      <c r="S50" s="14">
        <v>0</v>
      </c>
      <c r="T50" s="16">
        <v>0</v>
      </c>
    </row>
    <row r="51" spans="1:20" x14ac:dyDescent="0.25">
      <c r="A51" s="11" t="s">
        <v>184</v>
      </c>
      <c r="B51" s="13">
        <v>3372</v>
      </c>
      <c r="C51" s="14">
        <f>(2870/B51*100)</f>
        <v>85.112692763938313</v>
      </c>
      <c r="D51" s="15">
        <v>502</v>
      </c>
      <c r="E51" s="14">
        <v>4.2821814099999997</v>
      </c>
      <c r="F51" s="16">
        <v>0.97305991999999997</v>
      </c>
      <c r="G51" s="14">
        <v>77.069665689999994</v>
      </c>
      <c r="H51" s="16">
        <v>2.1785011500000002</v>
      </c>
      <c r="I51" s="14">
        <v>18.64815291</v>
      </c>
      <c r="J51" s="16">
        <v>2.0171630899999999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(2343/B52*100)</f>
        <v>83.798283261802581</v>
      </c>
      <c r="D52" s="15">
        <v>453</v>
      </c>
      <c r="E52" s="14">
        <v>5.9757833700000003</v>
      </c>
      <c r="F52" s="16">
        <v>1.3462630600000001</v>
      </c>
      <c r="G52" s="14">
        <v>80.018108139999995</v>
      </c>
      <c r="H52" s="16">
        <v>1.9992564500000001</v>
      </c>
      <c r="I52" s="14">
        <v>14.006108490000001</v>
      </c>
      <c r="J52" s="16">
        <v>1.67049779</v>
      </c>
      <c r="K52" s="14" t="s">
        <v>139</v>
      </c>
      <c r="L52" s="16" t="s">
        <v>139</v>
      </c>
      <c r="M52" s="14">
        <v>0</v>
      </c>
      <c r="N52" s="16">
        <v>0</v>
      </c>
      <c r="O52" s="14">
        <v>0</v>
      </c>
      <c r="P52" s="16">
        <v>0</v>
      </c>
      <c r="Q52" s="14">
        <v>0</v>
      </c>
      <c r="R52" s="16">
        <v>0</v>
      </c>
      <c r="S52" s="14">
        <v>0</v>
      </c>
      <c r="T52" s="16">
        <v>0</v>
      </c>
    </row>
    <row r="53" spans="1:20" x14ac:dyDescent="0.25">
      <c r="A53" s="11" t="s">
        <v>186</v>
      </c>
      <c r="B53" s="13">
        <v>2811</v>
      </c>
      <c r="C53" s="14">
        <f>(2342/B53*100)</f>
        <v>83.315546069014587</v>
      </c>
      <c r="D53" s="15">
        <v>469</v>
      </c>
      <c r="E53" s="14">
        <v>16.66197163</v>
      </c>
      <c r="F53" s="16">
        <v>1.40375413</v>
      </c>
      <c r="G53" s="14">
        <v>66.371337659999995</v>
      </c>
      <c r="H53" s="16">
        <v>2.1631086800000001</v>
      </c>
      <c r="I53" s="14">
        <v>16.966690700000001</v>
      </c>
      <c r="J53" s="16">
        <v>1.81472254</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(2244/B56*100)</f>
        <v>83.606557377049185</v>
      </c>
      <c r="D56" s="15">
        <v>440</v>
      </c>
      <c r="E56" s="14">
        <v>11.12958873</v>
      </c>
      <c r="F56" s="16">
        <v>1.6345377699999999</v>
      </c>
      <c r="G56" s="14">
        <v>56.955950909999999</v>
      </c>
      <c r="H56" s="16">
        <v>2.3242431799999999</v>
      </c>
      <c r="I56" s="14">
        <v>31.91446036</v>
      </c>
      <c r="J56" s="16">
        <v>2.52311431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(2784/B61*100)</f>
        <v>83.754512635379058</v>
      </c>
      <c r="D61" s="15">
        <v>540</v>
      </c>
      <c r="E61" s="14">
        <v>6.7182604899999996</v>
      </c>
      <c r="F61" s="16">
        <v>1.2870966800000001</v>
      </c>
      <c r="G61" s="14">
        <v>77.191843770000006</v>
      </c>
      <c r="H61" s="16">
        <v>1.8580295</v>
      </c>
      <c r="I61" s="14">
        <v>16.089895739999999</v>
      </c>
      <c r="J61" s="16">
        <v>1.7902677300000001</v>
      </c>
      <c r="K61" s="14" t="s">
        <v>139</v>
      </c>
      <c r="L61" s="16" t="s">
        <v>139</v>
      </c>
      <c r="M61" s="14">
        <v>0</v>
      </c>
      <c r="N61" s="16">
        <v>0</v>
      </c>
      <c r="O61" s="14">
        <v>0</v>
      </c>
      <c r="P61" s="16">
        <v>0</v>
      </c>
      <c r="Q61" s="14">
        <v>0</v>
      </c>
      <c r="R61" s="16">
        <v>0</v>
      </c>
      <c r="S61" s="14">
        <v>0</v>
      </c>
      <c r="T61" s="16">
        <v>0</v>
      </c>
    </row>
    <row r="62" spans="1:20" x14ac:dyDescent="0.25">
      <c r="A62" s="11" t="s">
        <v>195</v>
      </c>
      <c r="B62" s="13">
        <v>2246</v>
      </c>
      <c r="C62" s="14">
        <f>(1850/B62*100)</f>
        <v>82.36865538735529</v>
      </c>
      <c r="D62" s="15">
        <v>396</v>
      </c>
      <c r="E62" s="14">
        <v>11.615829189999999</v>
      </c>
      <c r="F62" s="16">
        <v>1.5322955</v>
      </c>
      <c r="G62" s="14">
        <v>51.810472750000002</v>
      </c>
      <c r="H62" s="16">
        <v>2.4935292499999999</v>
      </c>
      <c r="I62" s="14">
        <v>36.573698059999998</v>
      </c>
      <c r="J62" s="16">
        <v>2.6016922999999998</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(2445/B66*100)</f>
        <v>84.485141672425712</v>
      </c>
      <c r="D66" s="15">
        <v>449</v>
      </c>
      <c r="E66" s="14">
        <v>10.988880419999999</v>
      </c>
      <c r="F66" s="16">
        <v>1.4705804200000001</v>
      </c>
      <c r="G66" s="14">
        <v>73.148177590000003</v>
      </c>
      <c r="H66" s="16">
        <v>2.0673259599999998</v>
      </c>
      <c r="I66" s="14">
        <v>15.862941989999999</v>
      </c>
      <c r="J66" s="16">
        <v>1.47374132</v>
      </c>
      <c r="K66" s="14" t="s">
        <v>139</v>
      </c>
      <c r="L66" s="16" t="s">
        <v>139</v>
      </c>
      <c r="M66" s="14">
        <v>0</v>
      </c>
      <c r="N66" s="16">
        <v>0</v>
      </c>
      <c r="O66" s="14">
        <v>0</v>
      </c>
      <c r="P66" s="16">
        <v>0</v>
      </c>
      <c r="Q66" s="14">
        <v>0</v>
      </c>
      <c r="R66" s="16">
        <v>0</v>
      </c>
      <c r="S66" s="14">
        <v>0</v>
      </c>
      <c r="T66" s="16">
        <v>0</v>
      </c>
    </row>
    <row r="67" spans="1:20" x14ac:dyDescent="0.25">
      <c r="A67" s="11" t="s">
        <v>200</v>
      </c>
      <c r="B67" s="13">
        <v>3511</v>
      </c>
      <c r="C67" s="14">
        <f>(2981/B67*100)</f>
        <v>84.904585588151519</v>
      </c>
      <c r="D67" s="15">
        <v>530</v>
      </c>
      <c r="E67" s="14">
        <v>11.495958229999999</v>
      </c>
      <c r="F67" s="16">
        <v>1.33284593</v>
      </c>
      <c r="G67" s="14">
        <v>74.850915779999994</v>
      </c>
      <c r="H67" s="16">
        <v>1.99639543</v>
      </c>
      <c r="I67" s="14">
        <v>13.653125989999999</v>
      </c>
      <c r="J67" s="16">
        <v>1.67628003</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(2445/B70*100)</f>
        <v>83.475588938204169</v>
      </c>
      <c r="D70" s="15">
        <v>484</v>
      </c>
      <c r="E70" s="14">
        <v>8.9442330900000009</v>
      </c>
      <c r="F70" s="16">
        <v>1.5382121200000001</v>
      </c>
      <c r="G70" s="14">
        <v>78.595284210000003</v>
      </c>
      <c r="H70" s="16">
        <v>2.03159607</v>
      </c>
      <c r="I70" s="14">
        <v>12.460482710000001</v>
      </c>
      <c r="J70" s="16">
        <v>1.3537562400000001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7.2557193499999997</v>
      </c>
      <c r="F72" s="16">
        <v>1.0491379599999999</v>
      </c>
      <c r="G72" s="14">
        <v>64.021542659999994</v>
      </c>
      <c r="H72" s="16">
        <v>1.7110161100000001</v>
      </c>
      <c r="I72" s="14">
        <v>28.722737989999999</v>
      </c>
      <c r="J72" s="16">
        <v>1.7008941200000001</v>
      </c>
      <c r="K72" s="14" t="s">
        <v>139</v>
      </c>
      <c r="L72" s="16" t="s">
        <v>139</v>
      </c>
      <c r="M72" s="14">
        <v>0</v>
      </c>
      <c r="N72" s="16">
        <v>0</v>
      </c>
      <c r="O72" s="14">
        <v>0</v>
      </c>
      <c r="P72" s="16">
        <v>0</v>
      </c>
      <c r="Q72" s="14">
        <v>0</v>
      </c>
      <c r="R72" s="16">
        <v>0</v>
      </c>
      <c r="S72" s="14">
        <v>0</v>
      </c>
      <c r="T72" s="16">
        <v>0</v>
      </c>
    </row>
    <row r="73" spans="1:20" x14ac:dyDescent="0.25">
      <c r="A73" s="11" t="s">
        <v>206</v>
      </c>
      <c r="B73" s="13">
        <v>3597</v>
      </c>
      <c r="C73" s="14">
        <f>(3003/B73*100)</f>
        <v>83.486238532110093</v>
      </c>
      <c r="D73" s="15">
        <v>594</v>
      </c>
      <c r="E73" s="14">
        <v>24.080574420000001</v>
      </c>
      <c r="F73" s="16">
        <v>2.55627183</v>
      </c>
      <c r="G73" s="14">
        <v>52.444283910000003</v>
      </c>
      <c r="H73" s="16">
        <v>2.6880627499999998</v>
      </c>
      <c r="I73" s="14">
        <v>23.475141669999999</v>
      </c>
      <c r="J73" s="16">
        <v>2.3730283600000002</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(2046/B75*100)</f>
        <v>85.037406483790519</v>
      </c>
      <c r="D75" s="15">
        <v>360</v>
      </c>
      <c r="E75" s="14">
        <v>17.637991710000001</v>
      </c>
      <c r="F75" s="16">
        <v>2.0216302900000001</v>
      </c>
      <c r="G75" s="14">
        <v>73.058228249999999</v>
      </c>
      <c r="H75" s="16">
        <v>2.2919364899999999</v>
      </c>
      <c r="I75" s="14">
        <v>9.3037800399999995</v>
      </c>
      <c r="J75" s="16">
        <v>1.4134806799999999</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(5868/B76*100)</f>
        <v>83.210436755530353</v>
      </c>
      <c r="D76" s="15">
        <v>1184</v>
      </c>
      <c r="E76" s="14">
        <v>12.646037189999999</v>
      </c>
      <c r="F76" s="16">
        <v>1.1640152100000001</v>
      </c>
      <c r="G76" s="14">
        <v>70.254608849999997</v>
      </c>
      <c r="H76" s="16">
        <v>1.7597512799999999</v>
      </c>
      <c r="I76" s="14">
        <v>17.099353959999998</v>
      </c>
      <c r="J76" s="16">
        <v>1.4628797200000001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(2466/B77*100)</f>
        <v>84.800550206327372</v>
      </c>
      <c r="D77" s="15">
        <v>442</v>
      </c>
      <c r="E77" s="14">
        <v>8.3469499200000001</v>
      </c>
      <c r="F77" s="16">
        <v>1.2907834499999999</v>
      </c>
      <c r="G77" s="14">
        <v>73.626984359999994</v>
      </c>
      <c r="H77" s="16">
        <v>1.9410820600000001</v>
      </c>
      <c r="I77" s="14">
        <v>18.026065719999998</v>
      </c>
      <c r="J77" s="16">
        <v>1.84530317</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(3457/B81*100)</f>
        <v>83.041076147009363</v>
      </c>
      <c r="D81" s="15">
        <v>706</v>
      </c>
      <c r="E81" s="14">
        <v>14.860780419999999</v>
      </c>
      <c r="F81" s="16">
        <v>1.6852087499999999</v>
      </c>
      <c r="G81" s="14">
        <v>67.835179859999997</v>
      </c>
      <c r="H81" s="16">
        <v>2.0162363399999998</v>
      </c>
      <c r="I81" s="14">
        <v>17.304039719999999</v>
      </c>
      <c r="J81" s="16">
        <v>1.69791257</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318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(6156/B7*100)</f>
        <v>83.561829781457845</v>
      </c>
      <c r="D7" s="15">
        <v>1211</v>
      </c>
      <c r="E7" s="14">
        <v>23.050368599999999</v>
      </c>
      <c r="F7" s="16">
        <v>1.33526477</v>
      </c>
      <c r="G7" s="14">
        <v>76.949631400000001</v>
      </c>
      <c r="H7" s="16">
        <v>1.33526477</v>
      </c>
      <c r="I7" s="14" t="s">
        <v>139</v>
      </c>
      <c r="J7" s="16" t="s">
        <v>139</v>
      </c>
      <c r="K7" s="14">
        <v>0</v>
      </c>
      <c r="L7" s="16">
        <v>0</v>
      </c>
      <c r="M7" s="14">
        <v>0</v>
      </c>
      <c r="N7" s="16">
        <v>0</v>
      </c>
      <c r="O7" s="14">
        <v>0</v>
      </c>
      <c r="P7" s="16">
        <v>0</v>
      </c>
      <c r="Q7" s="14">
        <v>0</v>
      </c>
      <c r="R7" s="16">
        <v>0</v>
      </c>
    </row>
    <row r="8" spans="1:18" x14ac:dyDescent="0.25">
      <c r="A8" s="11" t="s">
        <v>140</v>
      </c>
      <c r="B8" s="13">
        <v>3564</v>
      </c>
      <c r="C8" s="14">
        <f>(2953/B8*100)</f>
        <v>82.856341189674524</v>
      </c>
      <c r="D8" s="15">
        <v>611</v>
      </c>
      <c r="E8" s="14">
        <v>25.763772719999999</v>
      </c>
      <c r="F8" s="16">
        <v>1.7690578699999999</v>
      </c>
      <c r="G8" s="14">
        <v>74.236227279999994</v>
      </c>
      <c r="H8" s="16">
        <v>1.7690578699999999</v>
      </c>
      <c r="I8" s="14" t="s">
        <v>139</v>
      </c>
      <c r="J8" s="16" t="s">
        <v>139</v>
      </c>
      <c r="K8" s="14">
        <v>0</v>
      </c>
      <c r="L8" s="16">
        <v>0</v>
      </c>
      <c r="M8" s="14">
        <v>0</v>
      </c>
      <c r="N8" s="16">
        <v>0</v>
      </c>
      <c r="O8" s="14">
        <v>0</v>
      </c>
      <c r="P8" s="16">
        <v>0</v>
      </c>
      <c r="Q8" s="14">
        <v>0</v>
      </c>
      <c r="R8" s="16">
        <v>0</v>
      </c>
    </row>
    <row r="9" spans="1:18" x14ac:dyDescent="0.25">
      <c r="A9" s="11" t="s">
        <v>141</v>
      </c>
      <c r="B9" s="13">
        <v>4899</v>
      </c>
      <c r="C9" s="14">
        <f>(4101/B9*100)</f>
        <v>83.710961420698098</v>
      </c>
      <c r="D9" s="15">
        <v>798</v>
      </c>
      <c r="E9" s="14">
        <v>26.795928360000001</v>
      </c>
      <c r="F9" s="16">
        <v>1.38980817</v>
      </c>
      <c r="G9" s="14">
        <v>73.204071639999995</v>
      </c>
      <c r="H9" s="16">
        <v>1.38980817</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22.320092800000001</v>
      </c>
      <c r="F10" s="16">
        <v>1.46843021</v>
      </c>
      <c r="G10" s="14">
        <v>77.679907200000002</v>
      </c>
      <c r="H10" s="16">
        <v>1.46843021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(2964/B11*100)</f>
        <v>83.422459893048128</v>
      </c>
      <c r="D11" s="15">
        <v>589</v>
      </c>
      <c r="E11" s="14">
        <v>34.403029150000002</v>
      </c>
      <c r="F11" s="16">
        <v>2.6218455999999999</v>
      </c>
      <c r="G11" s="14">
        <v>65.596970850000005</v>
      </c>
      <c r="H11" s="16">
        <v>2.6218455999999999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(2865/B12*100)</f>
        <v>82.517281105990776</v>
      </c>
      <c r="D12" s="15">
        <v>607</v>
      </c>
      <c r="E12" s="14">
        <v>25.236771529999999</v>
      </c>
      <c r="F12" s="16">
        <v>1.9539222599999999</v>
      </c>
      <c r="G12" s="14">
        <v>74.763228470000001</v>
      </c>
      <c r="H12" s="16">
        <v>1.9539222599999999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19.33804057</v>
      </c>
      <c r="F13" s="16">
        <v>1.9839320600000001</v>
      </c>
      <c r="G13" s="14">
        <v>80.661959429999996</v>
      </c>
      <c r="H13" s="16">
        <v>1.9839320600000001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(2321/B14*100)</f>
        <v>82.922472311539835</v>
      </c>
      <c r="D14" s="15">
        <v>478</v>
      </c>
      <c r="E14" s="14">
        <v>17.99778152</v>
      </c>
      <c r="F14" s="16">
        <v>1.98837697</v>
      </c>
      <c r="G14" s="14">
        <v>82.002218479999996</v>
      </c>
      <c r="H14" s="16">
        <v>1.98837697</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(2509/B15*100)</f>
        <v>83.10698906922822</v>
      </c>
      <c r="D15" s="15">
        <v>510</v>
      </c>
      <c r="E15" s="14">
        <v>20.64478935</v>
      </c>
      <c r="F15" s="16">
        <v>1.7861494600000001</v>
      </c>
      <c r="G15" s="14">
        <v>79.355210650000004</v>
      </c>
      <c r="H15" s="16">
        <v>1.7861494600000001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(2517/B16*100)</f>
        <v>83.983983983983975</v>
      </c>
      <c r="D16" s="15">
        <v>480</v>
      </c>
      <c r="E16" s="14">
        <v>28.366586460000001</v>
      </c>
      <c r="F16" s="16">
        <v>2.0249262400000001</v>
      </c>
      <c r="G16" s="14">
        <v>71.633413540000006</v>
      </c>
      <c r="H16" s="16">
        <v>2.0249262400000001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24.88460633</v>
      </c>
      <c r="F17" s="16">
        <v>1.9190497900000001</v>
      </c>
      <c r="G17" s="14">
        <v>75.115393670000003</v>
      </c>
      <c r="H17" s="16">
        <v>1.9190497900000001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33.791614690000003</v>
      </c>
      <c r="F18" s="16">
        <v>2.8641106000000001</v>
      </c>
      <c r="G18" s="14">
        <v>66.208385309999997</v>
      </c>
      <c r="H18" s="16">
        <v>2.8641106000000001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(2341/B19*100)</f>
        <v>83.368945868945872</v>
      </c>
      <c r="D19" s="15">
        <v>467</v>
      </c>
      <c r="E19" s="14">
        <v>32.433259110000002</v>
      </c>
      <c r="F19" s="16">
        <v>2.5965308</v>
      </c>
      <c r="G19" s="14">
        <v>67.566740890000005</v>
      </c>
      <c r="H19" s="16">
        <v>2.5965308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(1364/B20*100)</f>
        <v>83.680981595092035</v>
      </c>
      <c r="D20" s="15">
        <v>266</v>
      </c>
      <c r="E20" s="14">
        <v>30.211372669999999</v>
      </c>
      <c r="F20" s="16">
        <v>2.3343949799999999</v>
      </c>
      <c r="G20" s="14">
        <v>69.788627329999997</v>
      </c>
      <c r="H20" s="16">
        <v>2.3343949799999999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(2446/B22*100)</f>
        <v>83.452746502900027</v>
      </c>
      <c r="D22" s="15">
        <v>485</v>
      </c>
      <c r="E22" s="14">
        <v>34.177712100000001</v>
      </c>
      <c r="F22" s="16">
        <v>2.5281314400000001</v>
      </c>
      <c r="G22" s="14">
        <v>65.822287900000006</v>
      </c>
      <c r="H22" s="16">
        <v>2.5281314400000001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26.7610791</v>
      </c>
      <c r="F23" s="16">
        <v>2.37510602</v>
      </c>
      <c r="G23" s="14">
        <v>73.238920899999997</v>
      </c>
      <c r="H23" s="16">
        <v>2.37510602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(2777/B24*100)</f>
        <v>83.193529059316944</v>
      </c>
      <c r="D24" s="15">
        <v>561</v>
      </c>
      <c r="E24" s="14">
        <v>14.418090490000001</v>
      </c>
      <c r="F24" s="16">
        <v>1.2122071699999999</v>
      </c>
      <c r="G24" s="14">
        <v>85.581909510000003</v>
      </c>
      <c r="H24" s="16">
        <v>1.2122071699999999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21.751602770000002</v>
      </c>
      <c r="F25" s="16">
        <v>1.7492463700000001</v>
      </c>
      <c r="G25" s="14">
        <v>78.248397229999995</v>
      </c>
      <c r="H25" s="16">
        <v>1.7492463700000001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(2044/B26*100)</f>
        <v>83.428571428571431</v>
      </c>
      <c r="D26" s="15">
        <v>406</v>
      </c>
      <c r="E26" s="14">
        <v>26.06367582</v>
      </c>
      <c r="F26" s="16">
        <v>2.7707855600000002</v>
      </c>
      <c r="G26" s="14">
        <v>73.93632418</v>
      </c>
      <c r="H26" s="16">
        <v>2.7707855600000002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(2189/B27*100)</f>
        <v>83.677370030581045</v>
      </c>
      <c r="D27" s="15">
        <v>427</v>
      </c>
      <c r="E27" s="14">
        <v>29.999523530000001</v>
      </c>
      <c r="F27" s="16">
        <v>2.3729464199999999</v>
      </c>
      <c r="G27" s="14">
        <v>70.000476469999995</v>
      </c>
      <c r="H27" s="16">
        <v>2.3729464199999999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(3164/B28*100)</f>
        <v>84.037184594953516</v>
      </c>
      <c r="D28" s="15">
        <v>601</v>
      </c>
      <c r="E28" s="14">
        <v>40.843078550000001</v>
      </c>
      <c r="F28" s="16">
        <v>1.9731480699999999</v>
      </c>
      <c r="G28" s="14">
        <v>59.156921449999999</v>
      </c>
      <c r="H28" s="16">
        <v>1.9731480699999999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18.271026119999998</v>
      </c>
      <c r="F29" s="16">
        <v>1.8904803699999999</v>
      </c>
      <c r="G29" s="14">
        <v>81.728973879999998</v>
      </c>
      <c r="H29" s="16">
        <v>1.8904803699999999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(1891/B30*100)</f>
        <v>83.561643835616437</v>
      </c>
      <c r="D30" s="15">
        <v>372</v>
      </c>
      <c r="E30" s="14">
        <v>22.107263329999999</v>
      </c>
      <c r="F30" s="16">
        <v>2.3286421599999998</v>
      </c>
      <c r="G30" s="14">
        <v>77.892736670000005</v>
      </c>
      <c r="H30" s="16">
        <v>2.3286421599999998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(2300/B31*100)</f>
        <v>83.636363636363626</v>
      </c>
      <c r="D31" s="15">
        <v>450</v>
      </c>
      <c r="E31" s="14">
        <v>26.71024268</v>
      </c>
      <c r="F31" s="16">
        <v>2.05466156</v>
      </c>
      <c r="G31" s="14">
        <v>73.289757320000007</v>
      </c>
      <c r="H31" s="16">
        <v>2.05466156</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(3068/B33*100)</f>
        <v>83.505715841045173</v>
      </c>
      <c r="D33" s="15">
        <v>606</v>
      </c>
      <c r="E33" s="14">
        <v>21.925967379999999</v>
      </c>
      <c r="F33" s="16">
        <v>1.7362386000000001</v>
      </c>
      <c r="G33" s="14">
        <v>78.074032619999997</v>
      </c>
      <c r="H33" s="16">
        <v>1.7362386000000001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(2773/B34*100)</f>
        <v>83.650075414781298</v>
      </c>
      <c r="D34" s="15">
        <v>542</v>
      </c>
      <c r="E34" s="14">
        <v>34.120928650000003</v>
      </c>
      <c r="F34" s="16">
        <v>2.27932326</v>
      </c>
      <c r="G34" s="14">
        <v>65.879071350000004</v>
      </c>
      <c r="H34" s="16">
        <v>2.27932326</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(2930/B35*100)</f>
        <v>83.594864479315262</v>
      </c>
      <c r="D35" s="15">
        <v>575</v>
      </c>
      <c r="E35" s="14">
        <v>25.20018683</v>
      </c>
      <c r="F35" s="16">
        <v>2.62507212</v>
      </c>
      <c r="G35" s="14">
        <v>74.799813169999993</v>
      </c>
      <c r="H35" s="16">
        <v>2.62507212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(2767/B36*100)</f>
        <v>83.043217286914768</v>
      </c>
      <c r="D36" s="15">
        <v>565</v>
      </c>
      <c r="E36" s="14">
        <v>29.44078356</v>
      </c>
      <c r="F36" s="16">
        <v>2.1855841699999998</v>
      </c>
      <c r="G36" s="14">
        <v>70.55921644</v>
      </c>
      <c r="H36" s="16">
        <v>2.1855841699999998</v>
      </c>
      <c r="I36" s="14" t="s">
        <v>139</v>
      </c>
      <c r="J36" s="16" t="s">
        <v>139</v>
      </c>
      <c r="K36" s="14">
        <v>0</v>
      </c>
      <c r="L36" s="16">
        <v>0</v>
      </c>
      <c r="M36" s="14">
        <v>0</v>
      </c>
      <c r="N36" s="16">
        <v>0</v>
      </c>
      <c r="O36" s="14">
        <v>0</v>
      </c>
      <c r="P36" s="16">
        <v>0</v>
      </c>
      <c r="Q36" s="14">
        <v>0</v>
      </c>
      <c r="R36" s="16">
        <v>0</v>
      </c>
    </row>
    <row r="37" spans="1:18" x14ac:dyDescent="0.25">
      <c r="A37" s="11" t="s">
        <v>170</v>
      </c>
      <c r="B37" s="13">
        <v>2727</v>
      </c>
      <c r="C37" s="14">
        <f>(2291/B37*100)</f>
        <v>84.011734506784009</v>
      </c>
      <c r="D37" s="15">
        <v>436</v>
      </c>
      <c r="E37" s="14">
        <v>24.85551066</v>
      </c>
      <c r="F37" s="16">
        <v>2.1976010100000001</v>
      </c>
      <c r="G37" s="14">
        <v>75.144489340000007</v>
      </c>
      <c r="H37" s="16">
        <v>2.1976010100000001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43.246772219999997</v>
      </c>
      <c r="F39" s="16">
        <v>2.6320510600000002</v>
      </c>
      <c r="G39" s="14">
        <v>56.753227780000003</v>
      </c>
      <c r="H39" s="16">
        <v>2.6320510600000002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(6010/B40*100)</f>
        <v>83.068417415342083</v>
      </c>
      <c r="D40" s="15">
        <v>1225</v>
      </c>
      <c r="E40" s="14">
        <v>25.494354829999999</v>
      </c>
      <c r="F40" s="16">
        <v>2.1520498099999998</v>
      </c>
      <c r="G40" s="14">
        <v>74.505645169999994</v>
      </c>
      <c r="H40" s="16">
        <v>2.1520498099999998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(2387/B41*100)</f>
        <v>83.519944016794966</v>
      </c>
      <c r="D41" s="15">
        <v>471</v>
      </c>
      <c r="E41" s="14">
        <v>29.021623219999999</v>
      </c>
      <c r="F41" s="16">
        <v>2.67578374</v>
      </c>
      <c r="G41" s="14">
        <v>70.978376780000005</v>
      </c>
      <c r="H41" s="16">
        <v>2.67578374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83.418849594780681</v>
      </c>
      <c r="D42" s="15">
        <f>IF(COUNT(D7:D41) &gt; 0, AVERAGE(D7:D41), "—")</f>
        <v>606.78125</v>
      </c>
      <c r="E42" s="14">
        <f>IF(COUNT(E7:E41) &gt; 0, AVERAGE(E7:E41), "—")</f>
        <v>26.863982365625002</v>
      </c>
      <c r="F42" s="16">
        <f>IF(COUNT(F7:F41) &gt; 0, SQRT(SUMSQ(F7:F41)/(COUNT(F7:F41)*COUNT(F7:F41)) ), "—")</f>
        <v>0.38191173335266793</v>
      </c>
      <c r="G42" s="14">
        <f>IF(COUNT(G7:G41) &gt; 0, AVERAGE(G7:G41), "—")</f>
        <v>73.136017634375008</v>
      </c>
      <c r="H42" s="16">
        <f>IF(COUNT(H7:H41) &gt; 0, SQRT(SUMSQ(H7:H41)/(COUNT(H7:H41)*COUNT(H7:H41)) ), "—")</f>
        <v>0.38191173335266793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(9619/B46*100)</f>
        <v>86.908203830863755</v>
      </c>
      <c r="D46" s="15">
        <v>1449</v>
      </c>
      <c r="E46" s="14">
        <v>45.417882319999997</v>
      </c>
      <c r="F46" s="16">
        <v>1.98031413</v>
      </c>
      <c r="G46" s="14">
        <v>54.582117680000003</v>
      </c>
      <c r="H46" s="16">
        <v>1.98031413</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(2613/B47*100)</f>
        <v>84.154589371980677</v>
      </c>
      <c r="D47" s="15">
        <v>492</v>
      </c>
      <c r="E47" s="14">
        <v>38.096824900000001</v>
      </c>
      <c r="F47" s="16">
        <v>2.4227522000000001</v>
      </c>
      <c r="G47" s="14">
        <v>61.903175099999999</v>
      </c>
      <c r="H47" s="16">
        <v>2.4227522000000001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(4290/B48*100)</f>
        <v>83.155650319829419</v>
      </c>
      <c r="D48" s="15">
        <v>869</v>
      </c>
      <c r="E48" s="14">
        <v>26.1771028</v>
      </c>
      <c r="F48" s="16">
        <v>2.10070478</v>
      </c>
      <c r="G48" s="14">
        <v>73.8228972</v>
      </c>
      <c r="H48" s="16">
        <v>2.10070478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(4699/B50*100)</f>
        <v>83.359943232215713</v>
      </c>
      <c r="D50" s="15">
        <v>938</v>
      </c>
      <c r="E50" s="14">
        <v>49.611407380000003</v>
      </c>
      <c r="F50" s="16">
        <v>2.2501760499999999</v>
      </c>
      <c r="G50" s="14">
        <v>50.388592619999997</v>
      </c>
      <c r="H50" s="16">
        <v>2.2501760499999999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40.993690970000003</v>
      </c>
      <c r="F51" s="16">
        <v>2.3235430500000001</v>
      </c>
      <c r="G51" s="14">
        <v>59.006309029999997</v>
      </c>
      <c r="H51" s="16">
        <v>2.3235430500000001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(2343/B52*100)</f>
        <v>83.798283261802581</v>
      </c>
      <c r="D52" s="15">
        <v>453</v>
      </c>
      <c r="E52" s="14">
        <v>22.58926185</v>
      </c>
      <c r="F52" s="16">
        <v>1.98821344</v>
      </c>
      <c r="G52" s="14">
        <v>77.41073815</v>
      </c>
      <c r="H52" s="16">
        <v>1.98821344</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(2342/B53*100)</f>
        <v>83.315546069014587</v>
      </c>
      <c r="D53" s="15">
        <v>469</v>
      </c>
      <c r="E53" s="14">
        <v>44.890706909999999</v>
      </c>
      <c r="F53" s="16">
        <v>2.1688548600000002</v>
      </c>
      <c r="G53" s="14">
        <v>55.109293090000001</v>
      </c>
      <c r="H53" s="16">
        <v>2.1688548600000002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(2244/B56*100)</f>
        <v>83.606557377049185</v>
      </c>
      <c r="D56" s="15">
        <v>440</v>
      </c>
      <c r="E56" s="14">
        <v>23.81625704</v>
      </c>
      <c r="F56" s="16">
        <v>2.5001500000000001</v>
      </c>
      <c r="G56" s="14">
        <v>76.183742960000004</v>
      </c>
      <c r="H56" s="16">
        <v>2.5001500000000001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(2784/B61*100)</f>
        <v>83.754512635379058</v>
      </c>
      <c r="D61" s="15">
        <v>540</v>
      </c>
      <c r="E61" s="14">
        <v>28.71550804</v>
      </c>
      <c r="F61" s="16">
        <v>2.0992468</v>
      </c>
      <c r="G61" s="14">
        <v>71.284491959999997</v>
      </c>
      <c r="H61" s="16">
        <v>2.0992468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(1850/B62*100)</f>
        <v>82.36865538735529</v>
      </c>
      <c r="D62" s="15">
        <v>396</v>
      </c>
      <c r="E62" s="14">
        <v>21.7185539</v>
      </c>
      <c r="F62" s="16">
        <v>2.0940039800000001</v>
      </c>
      <c r="G62" s="14">
        <v>78.281446099999997</v>
      </c>
      <c r="H62" s="16">
        <v>2.0940039800000001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(2445/B66*100)</f>
        <v>84.485141672425712</v>
      </c>
      <c r="D66" s="15">
        <v>449</v>
      </c>
      <c r="E66" s="14">
        <v>48.964629739999999</v>
      </c>
      <c r="F66" s="16">
        <v>2.38860925</v>
      </c>
      <c r="G66" s="14">
        <v>51.035370260000001</v>
      </c>
      <c r="H66" s="16">
        <v>2.38860925</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(2981/B67*100)</f>
        <v>84.904585588151519</v>
      </c>
      <c r="D67" s="15">
        <v>530</v>
      </c>
      <c r="E67" s="14">
        <v>54.170847019999997</v>
      </c>
      <c r="F67" s="16">
        <v>2.3150156499999999</v>
      </c>
      <c r="G67" s="14">
        <v>45.829152980000003</v>
      </c>
      <c r="H67" s="16">
        <v>2.3150156499999999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(2445/B70*100)</f>
        <v>83.475588938204169</v>
      </c>
      <c r="D70" s="15">
        <v>484</v>
      </c>
      <c r="E70" s="14">
        <v>23.604463389999999</v>
      </c>
      <c r="F70" s="16">
        <v>2.87277329</v>
      </c>
      <c r="G70" s="14">
        <v>76.395536609999994</v>
      </c>
      <c r="H70" s="16">
        <v>2.87277329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(3210/B72*100)</f>
        <v>82.540498842890202</v>
      </c>
      <c r="D72" s="15">
        <v>679</v>
      </c>
      <c r="E72" s="14">
        <v>25.34398023</v>
      </c>
      <c r="F72" s="16">
        <v>1.9190363399999999</v>
      </c>
      <c r="G72" s="14">
        <v>74.65601977</v>
      </c>
      <c r="H72" s="16">
        <v>1.9190363399999999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59.697415149999998</v>
      </c>
      <c r="F73" s="16">
        <v>2.4267725800000002</v>
      </c>
      <c r="G73" s="14">
        <v>40.302584850000002</v>
      </c>
      <c r="H73" s="16">
        <v>2.4267725800000002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(2046/B75*100)</f>
        <v>85.037406483790519</v>
      </c>
      <c r="D75" s="15">
        <v>360</v>
      </c>
      <c r="E75" s="14">
        <v>64.591138130000004</v>
      </c>
      <c r="F75" s="16">
        <v>2.3827809200000001</v>
      </c>
      <c r="G75" s="14">
        <v>35.408861870000003</v>
      </c>
      <c r="H75" s="16">
        <v>2.3827809200000001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(5868/B76*100)</f>
        <v>83.210436755530353</v>
      </c>
      <c r="D76" s="15">
        <v>1184</v>
      </c>
      <c r="E76" s="14">
        <v>47.415166370000001</v>
      </c>
      <c r="F76" s="16">
        <v>1.91756949</v>
      </c>
      <c r="G76" s="14">
        <v>52.584833629999999</v>
      </c>
      <c r="H76" s="16">
        <v>1.91756949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(2466/B77*100)</f>
        <v>84.800550206327372</v>
      </c>
      <c r="D77" s="15">
        <v>442</v>
      </c>
      <c r="E77" s="14">
        <v>46.647181639999999</v>
      </c>
      <c r="F77" s="16">
        <v>2.7635231400000002</v>
      </c>
      <c r="G77" s="14">
        <v>53.352818360000001</v>
      </c>
      <c r="H77" s="16">
        <v>2.7635231400000002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(3457/B81*100)</f>
        <v>83.041076147009363</v>
      </c>
      <c r="D81" s="15">
        <v>706</v>
      </c>
      <c r="E81" s="14">
        <v>45.114444140000003</v>
      </c>
      <c r="F81" s="16">
        <v>2.2535668700000002</v>
      </c>
      <c r="G81" s="14">
        <v>54.885555859999997</v>
      </c>
      <c r="H81" s="16">
        <v>2.2535668700000002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319</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(6156/B7*100)</f>
        <v>83.561829781457845</v>
      </c>
      <c r="D7" s="15">
        <v>1211</v>
      </c>
      <c r="E7" s="14">
        <v>67.007383820000001</v>
      </c>
      <c r="F7" s="16">
        <v>1.56813253</v>
      </c>
      <c r="G7" s="14">
        <v>23.064833570000001</v>
      </c>
      <c r="H7" s="16">
        <v>1.60621744</v>
      </c>
      <c r="I7" s="14">
        <v>9.9277826099999995</v>
      </c>
      <c r="J7" s="16">
        <v>0.96126674999999995</v>
      </c>
      <c r="K7" s="14" t="s">
        <v>139</v>
      </c>
      <c r="L7" s="16" t="s">
        <v>139</v>
      </c>
      <c r="M7" s="14">
        <v>0</v>
      </c>
      <c r="N7" s="16">
        <v>0</v>
      </c>
      <c r="O7" s="14">
        <v>0</v>
      </c>
      <c r="P7" s="16">
        <v>0</v>
      </c>
      <c r="Q7" s="14">
        <v>0</v>
      </c>
      <c r="R7" s="16">
        <v>0</v>
      </c>
      <c r="S7" s="14">
        <v>0</v>
      </c>
      <c r="T7" s="16">
        <v>0</v>
      </c>
    </row>
    <row r="8" spans="1:20" x14ac:dyDescent="0.25">
      <c r="A8" s="11" t="s">
        <v>140</v>
      </c>
      <c r="B8" s="13">
        <v>3564</v>
      </c>
      <c r="C8" s="14">
        <f>(2953/B8*100)</f>
        <v>82.856341189674524</v>
      </c>
      <c r="D8" s="15">
        <v>611</v>
      </c>
      <c r="E8" s="14">
        <v>70.204328660000002</v>
      </c>
      <c r="F8" s="16">
        <v>1.97869188</v>
      </c>
      <c r="G8" s="14">
        <v>20.69146069</v>
      </c>
      <c r="H8" s="16">
        <v>1.70766817</v>
      </c>
      <c r="I8" s="14">
        <v>9.1042106500000006</v>
      </c>
      <c r="J8" s="16">
        <v>1.19034215</v>
      </c>
      <c r="K8" s="14" t="s">
        <v>139</v>
      </c>
      <c r="L8" s="16" t="s">
        <v>139</v>
      </c>
      <c r="M8" s="14">
        <v>0</v>
      </c>
      <c r="N8" s="16">
        <v>0</v>
      </c>
      <c r="O8" s="14">
        <v>0</v>
      </c>
      <c r="P8" s="16">
        <v>0</v>
      </c>
      <c r="Q8" s="14">
        <v>0</v>
      </c>
      <c r="R8" s="16">
        <v>0</v>
      </c>
      <c r="S8" s="14">
        <v>0</v>
      </c>
      <c r="T8" s="16">
        <v>0</v>
      </c>
    </row>
    <row r="9" spans="1:20" x14ac:dyDescent="0.25">
      <c r="A9" s="11" t="s">
        <v>141</v>
      </c>
      <c r="B9" s="13">
        <v>4899</v>
      </c>
      <c r="C9" s="14">
        <f>(4101/B9*100)</f>
        <v>83.710961420698098</v>
      </c>
      <c r="D9" s="15">
        <v>798</v>
      </c>
      <c r="E9" s="14">
        <v>67.967364090000004</v>
      </c>
      <c r="F9" s="16">
        <v>1.82207644</v>
      </c>
      <c r="G9" s="14">
        <v>22.962441389999999</v>
      </c>
      <c r="H9" s="16">
        <v>1.71106818</v>
      </c>
      <c r="I9" s="14">
        <v>9.0701945199999994</v>
      </c>
      <c r="J9" s="16">
        <v>0.93845716000000001</v>
      </c>
      <c r="K9" s="14" t="s">
        <v>139</v>
      </c>
      <c r="L9" s="16" t="s">
        <v>139</v>
      </c>
      <c r="M9" s="14">
        <v>0</v>
      </c>
      <c r="N9" s="16">
        <v>0</v>
      </c>
      <c r="O9" s="14">
        <v>0</v>
      </c>
      <c r="P9" s="16">
        <v>0</v>
      </c>
      <c r="Q9" s="14">
        <v>0</v>
      </c>
      <c r="R9" s="16">
        <v>0</v>
      </c>
      <c r="S9" s="14">
        <v>0</v>
      </c>
      <c r="T9" s="16">
        <v>0</v>
      </c>
    </row>
    <row r="10" spans="1:20" x14ac:dyDescent="0.25">
      <c r="A10" s="11" t="s">
        <v>142</v>
      </c>
      <c r="B10" s="13">
        <v>10036</v>
      </c>
      <c r="C10" s="14">
        <f>(8359/B10*100)</f>
        <v>83.290155440414509</v>
      </c>
      <c r="D10" s="15">
        <v>1677</v>
      </c>
      <c r="E10" s="14">
        <v>63.294673009999997</v>
      </c>
      <c r="F10" s="16">
        <v>1.59749739</v>
      </c>
      <c r="G10" s="14">
        <v>26.75591279</v>
      </c>
      <c r="H10" s="16">
        <v>1.56546345</v>
      </c>
      <c r="I10" s="14">
        <v>9.9494141999999997</v>
      </c>
      <c r="J10" s="16">
        <v>0.97561133</v>
      </c>
      <c r="K10" s="14" t="s">
        <v>139</v>
      </c>
      <c r="L10" s="16" t="s">
        <v>139</v>
      </c>
      <c r="M10" s="14">
        <v>0</v>
      </c>
      <c r="N10" s="16">
        <v>0</v>
      </c>
      <c r="O10" s="14">
        <v>0</v>
      </c>
      <c r="P10" s="16">
        <v>0</v>
      </c>
      <c r="Q10" s="14">
        <v>0</v>
      </c>
      <c r="R10" s="16">
        <v>0</v>
      </c>
      <c r="S10" s="14">
        <v>0</v>
      </c>
      <c r="T10" s="16">
        <v>0</v>
      </c>
    </row>
    <row r="11" spans="1:20" x14ac:dyDescent="0.25">
      <c r="A11" s="11" t="s">
        <v>143</v>
      </c>
      <c r="B11" s="13">
        <v>3553</v>
      </c>
      <c r="C11" s="14">
        <f>(2964/B11*100)</f>
        <v>83.422459893048128</v>
      </c>
      <c r="D11" s="15">
        <v>589</v>
      </c>
      <c r="E11" s="14">
        <v>81.450475690000005</v>
      </c>
      <c r="F11" s="16">
        <v>1.69283864</v>
      </c>
      <c r="G11" s="14">
        <v>15.4165732</v>
      </c>
      <c r="H11" s="16">
        <v>1.82485784</v>
      </c>
      <c r="I11" s="14">
        <v>3.1329511000000001</v>
      </c>
      <c r="J11" s="16">
        <v>0.70999913000000003</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(2865/B12*100)</f>
        <v>82.517281105990776</v>
      </c>
      <c r="D12" s="15">
        <v>607</v>
      </c>
      <c r="E12" s="14">
        <v>67.654089720000002</v>
      </c>
      <c r="F12" s="16">
        <v>2.0718115500000001</v>
      </c>
      <c r="G12" s="14">
        <v>27.370926789999999</v>
      </c>
      <c r="H12" s="16">
        <v>1.9614531399999999</v>
      </c>
      <c r="I12" s="14">
        <v>4.9749834999999996</v>
      </c>
      <c r="J12" s="16">
        <v>0.98545689999999997</v>
      </c>
      <c r="K12" s="14" t="s">
        <v>139</v>
      </c>
      <c r="L12" s="16" t="s">
        <v>139</v>
      </c>
      <c r="M12" s="14">
        <v>0</v>
      </c>
      <c r="N12" s="16">
        <v>0</v>
      </c>
      <c r="O12" s="14">
        <v>0</v>
      </c>
      <c r="P12" s="16">
        <v>0</v>
      </c>
      <c r="Q12" s="14">
        <v>0</v>
      </c>
      <c r="R12" s="16">
        <v>0</v>
      </c>
      <c r="S12" s="14">
        <v>0</v>
      </c>
      <c r="T12" s="16">
        <v>0</v>
      </c>
    </row>
    <row r="13" spans="1:20" x14ac:dyDescent="0.25">
      <c r="A13" s="11" t="s">
        <v>145</v>
      </c>
      <c r="B13" s="13">
        <v>3559</v>
      </c>
      <c r="C13" s="14">
        <f>(3005/B13*100)</f>
        <v>84.433829727451524</v>
      </c>
      <c r="D13" s="15">
        <v>554</v>
      </c>
      <c r="E13" s="14">
        <v>66.698837310000002</v>
      </c>
      <c r="F13" s="16">
        <v>2.8657498499999998</v>
      </c>
      <c r="G13" s="14">
        <v>23.137034079999999</v>
      </c>
      <c r="H13" s="16">
        <v>2.49174023</v>
      </c>
      <c r="I13" s="14">
        <v>10.164128610000001</v>
      </c>
      <c r="J13" s="16">
        <v>1.5620118599999999</v>
      </c>
      <c r="K13" s="14" t="s">
        <v>139</v>
      </c>
      <c r="L13" s="16" t="s">
        <v>139</v>
      </c>
      <c r="M13" s="14">
        <v>0</v>
      </c>
      <c r="N13" s="16">
        <v>0</v>
      </c>
      <c r="O13" s="14">
        <v>0</v>
      </c>
      <c r="P13" s="16">
        <v>0</v>
      </c>
      <c r="Q13" s="14">
        <v>0</v>
      </c>
      <c r="R13" s="16">
        <v>0</v>
      </c>
      <c r="S13" s="14">
        <v>0</v>
      </c>
      <c r="T13" s="16">
        <v>0</v>
      </c>
    </row>
    <row r="14" spans="1:20" x14ac:dyDescent="0.25">
      <c r="A14" s="11" t="s">
        <v>146</v>
      </c>
      <c r="B14" s="13">
        <v>2799</v>
      </c>
      <c r="C14" s="14">
        <f>(2321/B14*100)</f>
        <v>82.922472311539835</v>
      </c>
      <c r="D14" s="15">
        <v>478</v>
      </c>
      <c r="E14" s="14">
        <v>71.166847329999996</v>
      </c>
      <c r="F14" s="16">
        <v>2.0385051700000001</v>
      </c>
      <c r="G14" s="14">
        <v>20.503804259999999</v>
      </c>
      <c r="H14" s="16">
        <v>1.88102342</v>
      </c>
      <c r="I14" s="14">
        <v>8.3293484099999997</v>
      </c>
      <c r="J14" s="16">
        <v>1.2498318900000001</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(2509/B15*100)</f>
        <v>83.10698906922822</v>
      </c>
      <c r="D15" s="15">
        <v>510</v>
      </c>
      <c r="E15" s="14">
        <v>69.353251</v>
      </c>
      <c r="F15" s="16">
        <v>1.94266308</v>
      </c>
      <c r="G15" s="14">
        <v>20.292732229999999</v>
      </c>
      <c r="H15" s="16">
        <v>1.4870120099999999</v>
      </c>
      <c r="I15" s="14">
        <v>10.35401678</v>
      </c>
      <c r="J15" s="16">
        <v>1.32166063</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(2517/B16*100)</f>
        <v>83.983983983983975</v>
      </c>
      <c r="D16" s="15">
        <v>480</v>
      </c>
      <c r="E16" s="14">
        <v>69.037822360000007</v>
      </c>
      <c r="F16" s="16">
        <v>2.02199719</v>
      </c>
      <c r="G16" s="14">
        <v>24.38768052</v>
      </c>
      <c r="H16" s="16">
        <v>1.9428872500000001</v>
      </c>
      <c r="I16" s="14">
        <v>6.5744971200000002</v>
      </c>
      <c r="J16" s="16">
        <v>1.13847163</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(2793/B17*100)</f>
        <v>84.457211974599332</v>
      </c>
      <c r="D17" s="15">
        <v>514</v>
      </c>
      <c r="E17" s="14">
        <v>70.786092359999998</v>
      </c>
      <c r="F17" s="16">
        <v>1.7704660400000001</v>
      </c>
      <c r="G17" s="14">
        <v>22.441493260000001</v>
      </c>
      <c r="H17" s="16">
        <v>1.71416166</v>
      </c>
      <c r="I17" s="14">
        <v>6.7724143699999999</v>
      </c>
      <c r="J17" s="16">
        <v>1.12607254</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(2348/B18*100)</f>
        <v>83.08563340410474</v>
      </c>
      <c r="D18" s="15">
        <v>478</v>
      </c>
      <c r="E18" s="14">
        <v>82.347895690000001</v>
      </c>
      <c r="F18" s="16">
        <v>1.8475447300000001</v>
      </c>
      <c r="G18" s="14">
        <v>12.378560609999999</v>
      </c>
      <c r="H18" s="16">
        <v>1.4317691699999999</v>
      </c>
      <c r="I18" s="14">
        <v>5.2735437000000003</v>
      </c>
      <c r="J18" s="16">
        <v>1.2370844999999999</v>
      </c>
      <c r="K18" s="14" t="s">
        <v>139</v>
      </c>
      <c r="L18" s="16" t="s">
        <v>139</v>
      </c>
      <c r="M18" s="14">
        <v>0</v>
      </c>
      <c r="N18" s="16">
        <v>0</v>
      </c>
      <c r="O18" s="14">
        <v>0</v>
      </c>
      <c r="P18" s="16">
        <v>0</v>
      </c>
      <c r="Q18" s="14">
        <v>0</v>
      </c>
      <c r="R18" s="16">
        <v>0</v>
      </c>
      <c r="S18" s="14">
        <v>0</v>
      </c>
      <c r="T18" s="16">
        <v>0</v>
      </c>
    </row>
    <row r="19" spans="1:20" x14ac:dyDescent="0.25">
      <c r="A19" s="11" t="s">
        <v>151</v>
      </c>
      <c r="B19" s="13">
        <v>2808</v>
      </c>
      <c r="C19" s="14">
        <f>(2341/B19*100)</f>
        <v>83.368945868945872</v>
      </c>
      <c r="D19" s="15">
        <v>467</v>
      </c>
      <c r="E19" s="14">
        <v>76.36582842</v>
      </c>
      <c r="F19" s="16">
        <v>2.62562797</v>
      </c>
      <c r="G19" s="14">
        <v>17.502997350000001</v>
      </c>
      <c r="H19" s="16">
        <v>2.3323290600000002</v>
      </c>
      <c r="I19" s="14">
        <v>6.13117424</v>
      </c>
      <c r="J19" s="16">
        <v>1.29299564</v>
      </c>
      <c r="K19" s="14" t="s">
        <v>139</v>
      </c>
      <c r="L19" s="16" t="s">
        <v>139</v>
      </c>
      <c r="M19" s="14">
        <v>0</v>
      </c>
      <c r="N19" s="16">
        <v>0</v>
      </c>
      <c r="O19" s="14">
        <v>0</v>
      </c>
      <c r="P19" s="16">
        <v>0</v>
      </c>
      <c r="Q19" s="14">
        <v>0</v>
      </c>
      <c r="R19" s="16">
        <v>0</v>
      </c>
      <c r="S19" s="14">
        <v>0</v>
      </c>
      <c r="T19" s="16">
        <v>0</v>
      </c>
    </row>
    <row r="20" spans="1:20" x14ac:dyDescent="0.25">
      <c r="A20" s="11" t="s">
        <v>152</v>
      </c>
      <c r="B20" s="13">
        <v>1630</v>
      </c>
      <c r="C20" s="14">
        <f>(1364/B20*100)</f>
        <v>83.680981595092035</v>
      </c>
      <c r="D20" s="15">
        <v>266</v>
      </c>
      <c r="E20" s="14">
        <v>62.426761550000002</v>
      </c>
      <c r="F20" s="16">
        <v>2.9202573699999999</v>
      </c>
      <c r="G20" s="14">
        <v>30.172031350000001</v>
      </c>
      <c r="H20" s="16">
        <v>2.9501522699999998</v>
      </c>
      <c r="I20" s="14">
        <v>7.4012070899999998</v>
      </c>
      <c r="J20" s="16">
        <v>1.9302353699999999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(2446/B22*100)</f>
        <v>83.452746502900027</v>
      </c>
      <c r="D22" s="15">
        <v>485</v>
      </c>
      <c r="E22" s="14">
        <v>61.467378590000003</v>
      </c>
      <c r="F22" s="16">
        <v>2.1865035000000002</v>
      </c>
      <c r="G22" s="14">
        <v>15.737732660000001</v>
      </c>
      <c r="H22" s="16">
        <v>1.7066964600000001</v>
      </c>
      <c r="I22" s="14">
        <v>22.794888749999998</v>
      </c>
      <c r="J22" s="16">
        <v>1.57998477</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(4797/B23*100)</f>
        <v>82.835434294595061</v>
      </c>
      <c r="D23" s="15">
        <v>994</v>
      </c>
      <c r="E23" s="14">
        <v>76.162901610000006</v>
      </c>
      <c r="F23" s="16">
        <v>1.8654615299999999</v>
      </c>
      <c r="G23" s="14">
        <v>17.699063079999998</v>
      </c>
      <c r="H23" s="16">
        <v>1.7672530200000001</v>
      </c>
      <c r="I23" s="14">
        <v>6.1380353100000002</v>
      </c>
      <c r="J23" s="16">
        <v>1.0275350599999999</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(2777/B24*100)</f>
        <v>83.193529059316944</v>
      </c>
      <c r="D24" s="15">
        <v>561</v>
      </c>
      <c r="E24" s="14">
        <v>80.717614819999994</v>
      </c>
      <c r="F24" s="16">
        <v>1.9070317699999999</v>
      </c>
      <c r="G24" s="14">
        <v>13.063780789999999</v>
      </c>
      <c r="H24" s="16">
        <v>1.6519765</v>
      </c>
      <c r="I24" s="14">
        <v>6.2186043900000003</v>
      </c>
      <c r="J24" s="16">
        <v>1.0722404400000001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77.776544389999998</v>
      </c>
      <c r="F25" s="16">
        <v>1.9858757499999999</v>
      </c>
      <c r="G25" s="14">
        <v>12.62514762</v>
      </c>
      <c r="H25" s="16">
        <v>1.5275810400000001</v>
      </c>
      <c r="I25" s="14">
        <v>9.5983079999999994</v>
      </c>
      <c r="J25" s="16">
        <v>1.2573561</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(2044/B26*100)</f>
        <v>83.428571428571431</v>
      </c>
      <c r="D26" s="15">
        <v>406</v>
      </c>
      <c r="E26" s="14">
        <v>77.835467219999998</v>
      </c>
      <c r="F26" s="16">
        <v>2.15568932</v>
      </c>
      <c r="G26" s="14">
        <v>16.39618536</v>
      </c>
      <c r="H26" s="16">
        <v>2.0826922300000001</v>
      </c>
      <c r="I26" s="14">
        <v>5.7683474099999996</v>
      </c>
      <c r="J26" s="16">
        <v>1.1426906299999999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(2189/B27*100)</f>
        <v>83.677370030581045</v>
      </c>
      <c r="D27" s="15">
        <v>427</v>
      </c>
      <c r="E27" s="14">
        <v>67.635967230000006</v>
      </c>
      <c r="F27" s="16">
        <v>2.2765773899999999</v>
      </c>
      <c r="G27" s="14">
        <v>24.57427066</v>
      </c>
      <c r="H27" s="16">
        <v>2.0165807199999999</v>
      </c>
      <c r="I27" s="14">
        <v>7.7897621099999999</v>
      </c>
      <c r="J27" s="16">
        <v>1.12559689</v>
      </c>
      <c r="K27" s="14" t="s">
        <v>139</v>
      </c>
      <c r="L27" s="16" t="s">
        <v>139</v>
      </c>
      <c r="M27" s="14">
        <v>0</v>
      </c>
      <c r="N27" s="16">
        <v>0</v>
      </c>
      <c r="O27" s="14">
        <v>0</v>
      </c>
      <c r="P27" s="16">
        <v>0</v>
      </c>
      <c r="Q27" s="14">
        <v>0</v>
      </c>
      <c r="R27" s="16">
        <v>0</v>
      </c>
      <c r="S27" s="14">
        <v>0</v>
      </c>
      <c r="T27" s="16">
        <v>0</v>
      </c>
    </row>
    <row r="28" spans="1:20" x14ac:dyDescent="0.25">
      <c r="A28" s="11" t="s">
        <v>161</v>
      </c>
      <c r="B28" s="13">
        <v>3765</v>
      </c>
      <c r="C28" s="14">
        <f>(3164/B28*100)</f>
        <v>84.037184594953516</v>
      </c>
      <c r="D28" s="15">
        <v>601</v>
      </c>
      <c r="E28" s="14">
        <v>87.652435819999994</v>
      </c>
      <c r="F28" s="16">
        <v>1.44611906</v>
      </c>
      <c r="G28" s="14">
        <v>8.7846292699999999</v>
      </c>
      <c r="H28" s="16">
        <v>1.34162135</v>
      </c>
      <c r="I28" s="14">
        <v>3.56293492</v>
      </c>
      <c r="J28" s="16">
        <v>0.80737700999999995</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63.729136609999998</v>
      </c>
      <c r="F29" s="16">
        <v>2.0667195999999999</v>
      </c>
      <c r="G29" s="14">
        <v>22.123790809999999</v>
      </c>
      <c r="H29" s="16">
        <v>1.72404399</v>
      </c>
      <c r="I29" s="14">
        <v>14.14707258</v>
      </c>
      <c r="J29" s="16">
        <v>1.6758037400000001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(1891/B30*100)</f>
        <v>83.561643835616437</v>
      </c>
      <c r="D30" s="15">
        <v>372</v>
      </c>
      <c r="E30" s="14">
        <v>64.175652040000003</v>
      </c>
      <c r="F30" s="16">
        <v>2.64353266</v>
      </c>
      <c r="G30" s="14">
        <v>25.60930596</v>
      </c>
      <c r="H30" s="16">
        <v>2.5027021500000002</v>
      </c>
      <c r="I30" s="14">
        <v>10.21504199</v>
      </c>
      <c r="J30" s="16">
        <v>1.53963261</v>
      </c>
      <c r="K30" s="14" t="s">
        <v>139</v>
      </c>
      <c r="L30" s="16" t="s">
        <v>139</v>
      </c>
      <c r="M30" s="14">
        <v>0</v>
      </c>
      <c r="N30" s="16">
        <v>0</v>
      </c>
      <c r="O30" s="14">
        <v>0</v>
      </c>
      <c r="P30" s="16">
        <v>0</v>
      </c>
      <c r="Q30" s="14">
        <v>0</v>
      </c>
      <c r="R30" s="16">
        <v>0</v>
      </c>
      <c r="S30" s="14">
        <v>0</v>
      </c>
      <c r="T30" s="16">
        <v>0</v>
      </c>
    </row>
    <row r="31" spans="1:20" x14ac:dyDescent="0.25">
      <c r="A31" s="11" t="s">
        <v>164</v>
      </c>
      <c r="B31" s="13">
        <v>2750</v>
      </c>
      <c r="C31" s="14">
        <f>(2300/B31*100)</f>
        <v>83.636363636363626</v>
      </c>
      <c r="D31" s="15">
        <v>450</v>
      </c>
      <c r="E31" s="14">
        <v>64.474957680000003</v>
      </c>
      <c r="F31" s="16">
        <v>2.0874117399999998</v>
      </c>
      <c r="G31" s="14">
        <v>25.697778270000001</v>
      </c>
      <c r="H31" s="16">
        <v>2.1202428000000002</v>
      </c>
      <c r="I31" s="14">
        <v>9.8272640500000001</v>
      </c>
      <c r="J31" s="16">
        <v>1.42894564</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(3068/B33*100)</f>
        <v>83.505715841045173</v>
      </c>
      <c r="D33" s="15">
        <v>606</v>
      </c>
      <c r="E33" s="14">
        <v>68.794281190000007</v>
      </c>
      <c r="F33" s="16">
        <v>1.74104028</v>
      </c>
      <c r="G33" s="14">
        <v>19.884499609999999</v>
      </c>
      <c r="H33" s="16">
        <v>1.7155541000000001</v>
      </c>
      <c r="I33" s="14">
        <v>11.3212192</v>
      </c>
      <c r="J33" s="16">
        <v>1.35262321</v>
      </c>
      <c r="K33" s="14" t="s">
        <v>139</v>
      </c>
      <c r="L33" s="16" t="s">
        <v>139</v>
      </c>
      <c r="M33" s="14">
        <v>0</v>
      </c>
      <c r="N33" s="16">
        <v>0</v>
      </c>
      <c r="O33" s="14">
        <v>0</v>
      </c>
      <c r="P33" s="16">
        <v>0</v>
      </c>
      <c r="Q33" s="14">
        <v>0</v>
      </c>
      <c r="R33" s="16">
        <v>0</v>
      </c>
      <c r="S33" s="14">
        <v>0</v>
      </c>
      <c r="T33" s="16">
        <v>0</v>
      </c>
    </row>
    <row r="34" spans="1:20" x14ac:dyDescent="0.25">
      <c r="A34" s="11" t="s">
        <v>167</v>
      </c>
      <c r="B34" s="13">
        <v>3315</v>
      </c>
      <c r="C34" s="14">
        <f>(2773/B34*100)</f>
        <v>83.650075414781298</v>
      </c>
      <c r="D34" s="15">
        <v>542</v>
      </c>
      <c r="E34" s="14">
        <v>77.770325420000006</v>
      </c>
      <c r="F34" s="16">
        <v>1.9255244899999999</v>
      </c>
      <c r="G34" s="14">
        <v>17.081360920000002</v>
      </c>
      <c r="H34" s="16">
        <v>1.62253705</v>
      </c>
      <c r="I34" s="14">
        <v>5.1483136500000004</v>
      </c>
      <c r="J34" s="16">
        <v>0.96272384</v>
      </c>
      <c r="K34" s="14" t="s">
        <v>139</v>
      </c>
      <c r="L34" s="16" t="s">
        <v>139</v>
      </c>
      <c r="M34" s="14">
        <v>0</v>
      </c>
      <c r="N34" s="16">
        <v>0</v>
      </c>
      <c r="O34" s="14">
        <v>0</v>
      </c>
      <c r="P34" s="16">
        <v>0</v>
      </c>
      <c r="Q34" s="14">
        <v>0</v>
      </c>
      <c r="R34" s="16">
        <v>0</v>
      </c>
      <c r="S34" s="14">
        <v>0</v>
      </c>
      <c r="T34" s="16">
        <v>0</v>
      </c>
    </row>
    <row r="35" spans="1:20" x14ac:dyDescent="0.25">
      <c r="A35" s="11" t="s">
        <v>168</v>
      </c>
      <c r="B35" s="13">
        <v>3505</v>
      </c>
      <c r="C35" s="14">
        <f>(2930/B35*100)</f>
        <v>83.594864479315262</v>
      </c>
      <c r="D35" s="15">
        <v>575</v>
      </c>
      <c r="E35" s="14">
        <v>76.481487459999997</v>
      </c>
      <c r="F35" s="16">
        <v>1.93474247</v>
      </c>
      <c r="G35" s="14">
        <v>16.585041879999999</v>
      </c>
      <c r="H35" s="16">
        <v>1.7830687199999999</v>
      </c>
      <c r="I35" s="14">
        <v>6.9334706600000002</v>
      </c>
      <c r="J35" s="16">
        <v>1.21164999</v>
      </c>
      <c r="K35" s="14" t="s">
        <v>139</v>
      </c>
      <c r="L35" s="16" t="s">
        <v>139</v>
      </c>
      <c r="M35" s="14">
        <v>0</v>
      </c>
      <c r="N35" s="16">
        <v>0</v>
      </c>
      <c r="O35" s="14">
        <v>0</v>
      </c>
      <c r="P35" s="16">
        <v>0</v>
      </c>
      <c r="Q35" s="14">
        <v>0</v>
      </c>
      <c r="R35" s="16">
        <v>0</v>
      </c>
      <c r="S35" s="14">
        <v>0</v>
      </c>
      <c r="T35" s="16">
        <v>0</v>
      </c>
    </row>
    <row r="36" spans="1:20" x14ac:dyDescent="0.25">
      <c r="A36" s="11" t="s">
        <v>169</v>
      </c>
      <c r="B36" s="13">
        <v>3332</v>
      </c>
      <c r="C36" s="14">
        <f>(2767/B36*100)</f>
        <v>83.043217286914768</v>
      </c>
      <c r="D36" s="15">
        <v>565</v>
      </c>
      <c r="E36" s="14">
        <v>71.861548220000003</v>
      </c>
      <c r="F36" s="16">
        <v>1.89209987</v>
      </c>
      <c r="G36" s="14">
        <v>21.62109332</v>
      </c>
      <c r="H36" s="16">
        <v>1.74505365</v>
      </c>
      <c r="I36" s="14">
        <v>6.5173584599999996</v>
      </c>
      <c r="J36" s="16">
        <v>1.0920557900000001</v>
      </c>
      <c r="K36" s="14" t="s">
        <v>139</v>
      </c>
      <c r="L36" s="16" t="s">
        <v>139</v>
      </c>
      <c r="M36" s="14">
        <v>0</v>
      </c>
      <c r="N36" s="16">
        <v>0</v>
      </c>
      <c r="O36" s="14">
        <v>0</v>
      </c>
      <c r="P36" s="16">
        <v>0</v>
      </c>
      <c r="Q36" s="14">
        <v>0</v>
      </c>
      <c r="R36" s="16">
        <v>0</v>
      </c>
      <c r="S36" s="14">
        <v>0</v>
      </c>
      <c r="T36" s="16">
        <v>0</v>
      </c>
    </row>
    <row r="37" spans="1:20" x14ac:dyDescent="0.25">
      <c r="A37" s="11" t="s">
        <v>170</v>
      </c>
      <c r="B37" s="13">
        <v>2727</v>
      </c>
      <c r="C37" s="14">
        <f>(2291/B37*100)</f>
        <v>84.011734506784009</v>
      </c>
      <c r="D37" s="15">
        <v>436</v>
      </c>
      <c r="E37" s="14">
        <v>64.867440689999995</v>
      </c>
      <c r="F37" s="16">
        <v>2.1354646599999998</v>
      </c>
      <c r="G37" s="14">
        <v>25.236634859999999</v>
      </c>
      <c r="H37" s="16">
        <v>2.02811977</v>
      </c>
      <c r="I37" s="14">
        <v>9.8959244500000008</v>
      </c>
      <c r="J37" s="16">
        <v>1.4010207299999999</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78.423060919999998</v>
      </c>
      <c r="F39" s="16">
        <v>2.1735175799999999</v>
      </c>
      <c r="G39" s="14">
        <v>15.42089504</v>
      </c>
      <c r="H39" s="16">
        <v>1.65512902</v>
      </c>
      <c r="I39" s="14">
        <v>6.1560440400000003</v>
      </c>
      <c r="J39" s="16">
        <v>1.1296166999999999</v>
      </c>
      <c r="K39" s="14" t="s">
        <v>139</v>
      </c>
      <c r="L39" s="16" t="s">
        <v>139</v>
      </c>
      <c r="M39" s="14">
        <v>0</v>
      </c>
      <c r="N39" s="16">
        <v>0</v>
      </c>
      <c r="O39" s="14">
        <v>0</v>
      </c>
      <c r="P39" s="16">
        <v>0</v>
      </c>
      <c r="Q39" s="14">
        <v>0</v>
      </c>
      <c r="R39" s="16">
        <v>0</v>
      </c>
      <c r="S39" s="14">
        <v>0</v>
      </c>
      <c r="T39" s="16">
        <v>0</v>
      </c>
    </row>
    <row r="40" spans="1:20" x14ac:dyDescent="0.25">
      <c r="A40" s="11" t="s">
        <v>173</v>
      </c>
      <c r="B40" s="13">
        <v>7235</v>
      </c>
      <c r="C40" s="14">
        <f>(6010/B40*100)</f>
        <v>83.068417415342083</v>
      </c>
      <c r="D40" s="15">
        <v>1225</v>
      </c>
      <c r="E40" s="14">
        <v>67.639532389999999</v>
      </c>
      <c r="F40" s="16">
        <v>2.2458763400000001</v>
      </c>
      <c r="G40" s="14">
        <v>21.153644830000001</v>
      </c>
      <c r="H40" s="16">
        <v>1.8847674000000001</v>
      </c>
      <c r="I40" s="14">
        <v>11.20682278</v>
      </c>
      <c r="J40" s="16">
        <v>1.2571238499999999</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(2387/B41*100)</f>
        <v>83.519944016794966</v>
      </c>
      <c r="D41" s="15">
        <v>471</v>
      </c>
      <c r="E41" s="14">
        <v>72.697583620000003</v>
      </c>
      <c r="F41" s="16">
        <v>2.2279705500000002</v>
      </c>
      <c r="G41" s="14">
        <v>16.703847750000001</v>
      </c>
      <c r="H41" s="16">
        <v>1.89073593</v>
      </c>
      <c r="I41" s="14">
        <v>10.598568630000001</v>
      </c>
      <c r="J41" s="16">
        <v>1.2904490500000001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83.418849594780681</v>
      </c>
      <c r="D42" s="15">
        <f>IF(COUNT(D7:D41) &gt; 0, AVERAGE(D7:D41), "—")</f>
        <v>606.78125</v>
      </c>
      <c r="E42" s="14">
        <f>IF(COUNT(E7:E41) &gt; 0, AVERAGE(E7:E41), "—")</f>
        <v>71.435155216562507</v>
      </c>
      <c r="F42" s="16">
        <f>IF(COUNT(F7:F41) &gt; 0, SQRT(SUMSQ(F7:F41)/(COUNT(F7:F41)*COUNT(F7:F41)) ), "—")</f>
        <v>0.367553754415129</v>
      </c>
      <c r="G42" s="14">
        <f>IF(COUNT(G7:G41) &gt; 0, AVERAGE(G7:G41), "—")</f>
        <v>20.096162024374998</v>
      </c>
      <c r="H42" s="16">
        <f>IF(COUNT(H7:H41) &gt; 0, SQRT(SUMSQ(H7:H41)/(COUNT(H7:H41)*COUNT(H7:H41)) ), "—")</f>
        <v>0.33326423173370173</v>
      </c>
      <c r="I42" s="14">
        <f>IF(COUNT(I7:I41) &gt; 0, AVERAGE(I7:I41), "—")</f>
        <v>8.4686827587500009</v>
      </c>
      <c r="J42" s="16">
        <f>IF(COUNT(J7:J41) &gt; 0, SQRT(SUMSQ(J7:J41)/(COUNT(J7:J41)*COUNT(J7:J41)) ), "—")</f>
        <v>0.21990610862612053</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(9619/B46*100)</f>
        <v>86.908203830863755</v>
      </c>
      <c r="D46" s="15">
        <v>1449</v>
      </c>
      <c r="E46" s="14">
        <v>82.501857680000001</v>
      </c>
      <c r="F46" s="16">
        <v>1.31591295</v>
      </c>
      <c r="G46" s="14">
        <v>14.76950085</v>
      </c>
      <c r="H46" s="16">
        <v>1.1776618299999999</v>
      </c>
      <c r="I46" s="14">
        <v>2.7286414799999998</v>
      </c>
      <c r="J46" s="16">
        <v>0.54865461999999998</v>
      </c>
      <c r="K46" s="14" t="s">
        <v>139</v>
      </c>
      <c r="L46" s="16" t="s">
        <v>139</v>
      </c>
      <c r="M46" s="14">
        <v>0</v>
      </c>
      <c r="N46" s="16">
        <v>0</v>
      </c>
      <c r="O46" s="14">
        <v>0</v>
      </c>
      <c r="P46" s="16">
        <v>0</v>
      </c>
      <c r="Q46" s="14">
        <v>0</v>
      </c>
      <c r="R46" s="16">
        <v>0</v>
      </c>
      <c r="S46" s="14">
        <v>0</v>
      </c>
      <c r="T46" s="16">
        <v>0</v>
      </c>
    </row>
    <row r="47" spans="1:20" x14ac:dyDescent="0.25">
      <c r="A47" s="11" t="s">
        <v>180</v>
      </c>
      <c r="B47" s="13">
        <v>3105</v>
      </c>
      <c r="C47" s="14">
        <f>(2613/B47*100)</f>
        <v>84.154589371980677</v>
      </c>
      <c r="D47" s="15">
        <v>492</v>
      </c>
      <c r="E47" s="14">
        <v>76.201351990000006</v>
      </c>
      <c r="F47" s="16">
        <v>1.9864222899999999</v>
      </c>
      <c r="G47" s="14">
        <v>12.766387849999999</v>
      </c>
      <c r="H47" s="16">
        <v>1.47058814</v>
      </c>
      <c r="I47" s="14">
        <v>11.03226016</v>
      </c>
      <c r="J47" s="16">
        <v>1.4523206799999999</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(4290/B48*100)</f>
        <v>83.155650319829419</v>
      </c>
      <c r="D48" s="15">
        <v>869</v>
      </c>
      <c r="E48" s="14">
        <v>75.716362579999995</v>
      </c>
      <c r="F48" s="16">
        <v>2.1466407200000002</v>
      </c>
      <c r="G48" s="14">
        <v>14.941729240000001</v>
      </c>
      <c r="H48" s="16">
        <v>1.7902978700000001</v>
      </c>
      <c r="I48" s="14">
        <v>9.3419081899999998</v>
      </c>
      <c r="J48" s="16">
        <v>1.0807384</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(4699/B50*100)</f>
        <v>83.359943232215713</v>
      </c>
      <c r="D50" s="15">
        <v>938</v>
      </c>
      <c r="E50" s="14">
        <v>85.640568259999995</v>
      </c>
      <c r="F50" s="16">
        <v>1.35708042</v>
      </c>
      <c r="G50" s="14">
        <v>9.8295128599999995</v>
      </c>
      <c r="H50" s="16">
        <v>1.11613004</v>
      </c>
      <c r="I50" s="14">
        <v>4.5299188800000003</v>
      </c>
      <c r="J50" s="16">
        <v>0.94661010999999995</v>
      </c>
      <c r="K50" s="14" t="s">
        <v>139</v>
      </c>
      <c r="L50" s="16" t="s">
        <v>139</v>
      </c>
      <c r="M50" s="14">
        <v>0</v>
      </c>
      <c r="N50" s="16">
        <v>0</v>
      </c>
      <c r="O50" s="14">
        <v>0</v>
      </c>
      <c r="P50" s="16">
        <v>0</v>
      </c>
      <c r="Q50" s="14">
        <v>0</v>
      </c>
      <c r="R50" s="16">
        <v>0</v>
      </c>
      <c r="S50" s="14">
        <v>0</v>
      </c>
      <c r="T50" s="16">
        <v>0</v>
      </c>
    </row>
    <row r="51" spans="1:20" x14ac:dyDescent="0.25">
      <c r="A51" s="11" t="s">
        <v>184</v>
      </c>
      <c r="B51" s="13">
        <v>3372</v>
      </c>
      <c r="C51" s="14">
        <f>(2870/B51*100)</f>
        <v>85.112692763938313</v>
      </c>
      <c r="D51" s="15">
        <v>502</v>
      </c>
      <c r="E51" s="14">
        <v>87.319758519999993</v>
      </c>
      <c r="F51" s="16">
        <v>1.7518326</v>
      </c>
      <c r="G51" s="14">
        <v>9.9201793299999999</v>
      </c>
      <c r="H51" s="16">
        <v>1.5298552400000001</v>
      </c>
      <c r="I51" s="14">
        <v>2.76006215</v>
      </c>
      <c r="J51" s="16">
        <v>0.66234347000000005</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(2343/B52*100)</f>
        <v>83.798283261802581</v>
      </c>
      <c r="D52" s="15">
        <v>453</v>
      </c>
      <c r="E52" s="14">
        <v>83.213315359999996</v>
      </c>
      <c r="F52" s="16">
        <v>2.1678531799999998</v>
      </c>
      <c r="G52" s="14">
        <v>11.14152011</v>
      </c>
      <c r="H52" s="16">
        <v>1.6690511699999999</v>
      </c>
      <c r="I52" s="14">
        <v>5.6451645299999997</v>
      </c>
      <c r="J52" s="16">
        <v>1.1488012999999999</v>
      </c>
      <c r="K52" s="14" t="s">
        <v>139</v>
      </c>
      <c r="L52" s="16" t="s">
        <v>139</v>
      </c>
      <c r="M52" s="14">
        <v>0</v>
      </c>
      <c r="N52" s="16">
        <v>0</v>
      </c>
      <c r="O52" s="14">
        <v>0</v>
      </c>
      <c r="P52" s="16">
        <v>0</v>
      </c>
      <c r="Q52" s="14">
        <v>0</v>
      </c>
      <c r="R52" s="16">
        <v>0</v>
      </c>
      <c r="S52" s="14">
        <v>0</v>
      </c>
      <c r="T52" s="16">
        <v>0</v>
      </c>
    </row>
    <row r="53" spans="1:20" x14ac:dyDescent="0.25">
      <c r="A53" s="11" t="s">
        <v>186</v>
      </c>
      <c r="B53" s="13">
        <v>2811</v>
      </c>
      <c r="C53" s="14">
        <f>(2342/B53*100)</f>
        <v>83.315546069014587</v>
      </c>
      <c r="D53" s="15">
        <v>469</v>
      </c>
      <c r="E53" s="14">
        <v>74.879506820000003</v>
      </c>
      <c r="F53" s="16">
        <v>1.9628298099999999</v>
      </c>
      <c r="G53" s="14">
        <v>16.912717319999999</v>
      </c>
      <c r="H53" s="16">
        <v>1.85857571</v>
      </c>
      <c r="I53" s="14">
        <v>8.2077758599999999</v>
      </c>
      <c r="J53" s="16">
        <v>1.3273337700000001</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(2244/B56*100)</f>
        <v>83.606557377049185</v>
      </c>
      <c r="D56" s="15">
        <v>440</v>
      </c>
      <c r="E56" s="14">
        <v>60.993732360000003</v>
      </c>
      <c r="F56" s="16">
        <v>2.89516463</v>
      </c>
      <c r="G56" s="14">
        <v>20.6720492</v>
      </c>
      <c r="H56" s="16">
        <v>2.2379072</v>
      </c>
      <c r="I56" s="14">
        <v>18.334218440000001</v>
      </c>
      <c r="J56" s="16">
        <v>2.1826713099999999</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(2784/B61*100)</f>
        <v>83.754512635379058</v>
      </c>
      <c r="D61" s="15">
        <v>540</v>
      </c>
      <c r="E61" s="14">
        <v>77.306471040000005</v>
      </c>
      <c r="F61" s="16">
        <v>2.0322746999999999</v>
      </c>
      <c r="G61" s="14">
        <v>14.15770773</v>
      </c>
      <c r="H61" s="16">
        <v>1.69079848</v>
      </c>
      <c r="I61" s="14">
        <v>8.5358212299999998</v>
      </c>
      <c r="J61" s="16">
        <v>1.4046226900000001</v>
      </c>
      <c r="K61" s="14" t="s">
        <v>139</v>
      </c>
      <c r="L61" s="16" t="s">
        <v>139</v>
      </c>
      <c r="M61" s="14">
        <v>0</v>
      </c>
      <c r="N61" s="16">
        <v>0</v>
      </c>
      <c r="O61" s="14">
        <v>0</v>
      </c>
      <c r="P61" s="16">
        <v>0</v>
      </c>
      <c r="Q61" s="14">
        <v>0</v>
      </c>
      <c r="R61" s="16">
        <v>0</v>
      </c>
      <c r="S61" s="14">
        <v>0</v>
      </c>
      <c r="T61" s="16">
        <v>0</v>
      </c>
    </row>
    <row r="62" spans="1:20" x14ac:dyDescent="0.25">
      <c r="A62" s="11" t="s">
        <v>195</v>
      </c>
      <c r="B62" s="13">
        <v>2246</v>
      </c>
      <c r="C62" s="14">
        <f>(1850/B62*100)</f>
        <v>82.36865538735529</v>
      </c>
      <c r="D62" s="15">
        <v>396</v>
      </c>
      <c r="E62" s="14">
        <v>73.227041130000003</v>
      </c>
      <c r="F62" s="16">
        <v>2.25930381</v>
      </c>
      <c r="G62" s="14">
        <v>17.693345839999999</v>
      </c>
      <c r="H62" s="16">
        <v>2.0019108700000001</v>
      </c>
      <c r="I62" s="14">
        <v>9.0796130300000009</v>
      </c>
      <c r="J62" s="16">
        <v>1.37649336</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(2445/B66*100)</f>
        <v>84.485141672425712</v>
      </c>
      <c r="D66" s="15">
        <v>449</v>
      </c>
      <c r="E66" s="14">
        <v>79.569315219999993</v>
      </c>
      <c r="F66" s="16">
        <v>1.82848185</v>
      </c>
      <c r="G66" s="14">
        <v>13.86638656</v>
      </c>
      <c r="H66" s="16">
        <v>1.60222606</v>
      </c>
      <c r="I66" s="14">
        <v>6.5642982200000004</v>
      </c>
      <c r="J66" s="16">
        <v>1.1896202899999999</v>
      </c>
      <c r="K66" s="14" t="s">
        <v>139</v>
      </c>
      <c r="L66" s="16" t="s">
        <v>139</v>
      </c>
      <c r="M66" s="14">
        <v>0</v>
      </c>
      <c r="N66" s="16">
        <v>0</v>
      </c>
      <c r="O66" s="14">
        <v>0</v>
      </c>
      <c r="P66" s="16">
        <v>0</v>
      </c>
      <c r="Q66" s="14">
        <v>0</v>
      </c>
      <c r="R66" s="16">
        <v>0</v>
      </c>
      <c r="S66" s="14">
        <v>0</v>
      </c>
      <c r="T66" s="16">
        <v>0</v>
      </c>
    </row>
    <row r="67" spans="1:20" x14ac:dyDescent="0.25">
      <c r="A67" s="11" t="s">
        <v>200</v>
      </c>
      <c r="B67" s="13">
        <v>3511</v>
      </c>
      <c r="C67" s="14">
        <f>(2981/B67*100)</f>
        <v>84.904585588151519</v>
      </c>
      <c r="D67" s="15">
        <v>530</v>
      </c>
      <c r="E67" s="14">
        <v>84.205059379999994</v>
      </c>
      <c r="F67" s="16">
        <v>1.7422856600000001</v>
      </c>
      <c r="G67" s="14">
        <v>9.2774565899999999</v>
      </c>
      <c r="H67" s="16">
        <v>1.37182099</v>
      </c>
      <c r="I67" s="14">
        <v>6.5174840300000003</v>
      </c>
      <c r="J67" s="16">
        <v>1.2626139000000001</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(2445/B70*100)</f>
        <v>83.475588938204169</v>
      </c>
      <c r="D70" s="15">
        <v>484</v>
      </c>
      <c r="E70" s="14">
        <v>81.37758986</v>
      </c>
      <c r="F70" s="16">
        <v>2.0305791399999999</v>
      </c>
      <c r="G70" s="14">
        <v>16.507604099999998</v>
      </c>
      <c r="H70" s="16">
        <v>1.862325</v>
      </c>
      <c r="I70" s="14">
        <v>2.1148060499999999</v>
      </c>
      <c r="J70" s="16">
        <v>0.75020023000000002</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67.966665000000006</v>
      </c>
      <c r="F72" s="16">
        <v>1.94056702</v>
      </c>
      <c r="G72" s="14">
        <v>18.098952740000001</v>
      </c>
      <c r="H72" s="16">
        <v>1.61288063</v>
      </c>
      <c r="I72" s="14">
        <v>13.93438226</v>
      </c>
      <c r="J72" s="16">
        <v>1.48480919</v>
      </c>
      <c r="K72" s="14" t="s">
        <v>139</v>
      </c>
      <c r="L72" s="16" t="s">
        <v>139</v>
      </c>
      <c r="M72" s="14">
        <v>0</v>
      </c>
      <c r="N72" s="16">
        <v>0</v>
      </c>
      <c r="O72" s="14">
        <v>0</v>
      </c>
      <c r="P72" s="16">
        <v>0</v>
      </c>
      <c r="Q72" s="14">
        <v>0</v>
      </c>
      <c r="R72" s="16">
        <v>0</v>
      </c>
      <c r="S72" s="14">
        <v>0</v>
      </c>
      <c r="T72" s="16">
        <v>0</v>
      </c>
    </row>
    <row r="73" spans="1:20" x14ac:dyDescent="0.25">
      <c r="A73" s="11" t="s">
        <v>206</v>
      </c>
      <c r="B73" s="13">
        <v>3597</v>
      </c>
      <c r="C73" s="14">
        <f>(3003/B73*100)</f>
        <v>83.486238532110093</v>
      </c>
      <c r="D73" s="15">
        <v>594</v>
      </c>
      <c r="E73" s="14">
        <v>76.422573540000002</v>
      </c>
      <c r="F73" s="16">
        <v>2.27581145</v>
      </c>
      <c r="G73" s="14">
        <v>15.15400634</v>
      </c>
      <c r="H73" s="16">
        <v>1.9021287499999999</v>
      </c>
      <c r="I73" s="14">
        <v>8.4234201199999994</v>
      </c>
      <c r="J73" s="16">
        <v>1.41303475</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(2046/B75*100)</f>
        <v>85.037406483790519</v>
      </c>
      <c r="D75" s="15">
        <v>360</v>
      </c>
      <c r="E75" s="14">
        <v>83.059087379999994</v>
      </c>
      <c r="F75" s="16">
        <v>2.3668587300000001</v>
      </c>
      <c r="G75" s="14">
        <v>9.6758703700000002</v>
      </c>
      <c r="H75" s="16">
        <v>1.4385901999999999</v>
      </c>
      <c r="I75" s="14">
        <v>7.2650422499999996</v>
      </c>
      <c r="J75" s="16">
        <v>2.09221791</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(5868/B76*100)</f>
        <v>83.210436755530353</v>
      </c>
      <c r="D76" s="15">
        <v>1184</v>
      </c>
      <c r="E76" s="14">
        <v>72.993703260000004</v>
      </c>
      <c r="F76" s="16">
        <v>1.8925053199999999</v>
      </c>
      <c r="G76" s="14">
        <v>19.791983460000001</v>
      </c>
      <c r="H76" s="16">
        <v>1.5969833499999999</v>
      </c>
      <c r="I76" s="14">
        <v>7.2143132699999999</v>
      </c>
      <c r="J76" s="16">
        <v>0.96814157000000001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(2466/B77*100)</f>
        <v>84.800550206327372</v>
      </c>
      <c r="D77" s="15">
        <v>442</v>
      </c>
      <c r="E77" s="14">
        <v>82.100634880000001</v>
      </c>
      <c r="F77" s="16">
        <v>1.8650579700000001</v>
      </c>
      <c r="G77" s="14">
        <v>14.716333649999999</v>
      </c>
      <c r="H77" s="16">
        <v>1.7930595199999999</v>
      </c>
      <c r="I77" s="14">
        <v>3.18303147</v>
      </c>
      <c r="J77" s="16">
        <v>0.83030853000000004</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(3457/B81*100)</f>
        <v>83.041076147009363</v>
      </c>
      <c r="D81" s="15">
        <v>706</v>
      </c>
      <c r="E81" s="14">
        <v>78.525055469999998</v>
      </c>
      <c r="F81" s="16">
        <v>1.8021938200000001</v>
      </c>
      <c r="G81" s="14">
        <v>14.29047929</v>
      </c>
      <c r="H81" s="16">
        <v>1.6695906700000001</v>
      </c>
      <c r="I81" s="14">
        <v>7.1844652399999998</v>
      </c>
      <c r="J81" s="16">
        <v>1.1601544100000001</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320</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125</v>
      </c>
      <c r="F4" s="24"/>
      <c r="G4" s="23" t="s">
        <v>248</v>
      </c>
      <c r="H4" s="24"/>
      <c r="I4" s="23" t="s">
        <v>321</v>
      </c>
      <c r="J4" s="24"/>
      <c r="K4" s="23" t="s">
        <v>322</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(6156/B7*100)</f>
        <v>83.561829781457845</v>
      </c>
      <c r="D7" s="15">
        <v>1211</v>
      </c>
      <c r="E7" s="14">
        <v>17.178303020000001</v>
      </c>
      <c r="F7" s="16">
        <v>1.20175805</v>
      </c>
      <c r="G7" s="14">
        <v>8.2685049500000005</v>
      </c>
      <c r="H7" s="16">
        <v>0.83957017</v>
      </c>
      <c r="I7" s="14">
        <v>0.61321557999999998</v>
      </c>
      <c r="J7" s="16">
        <v>0.27967193000000001</v>
      </c>
      <c r="K7" s="14">
        <v>73.939976450000003</v>
      </c>
      <c r="L7" s="16">
        <v>1.46051939</v>
      </c>
      <c r="M7" s="14" t="s">
        <v>139</v>
      </c>
      <c r="N7" s="16" t="s">
        <v>139</v>
      </c>
      <c r="O7" s="14">
        <v>0</v>
      </c>
      <c r="P7" s="16">
        <v>0</v>
      </c>
      <c r="Q7" s="14">
        <v>0</v>
      </c>
      <c r="R7" s="16">
        <v>0</v>
      </c>
      <c r="S7" s="14">
        <v>0</v>
      </c>
      <c r="T7" s="16">
        <v>0</v>
      </c>
      <c r="U7" s="14">
        <v>0</v>
      </c>
      <c r="V7" s="16">
        <v>0</v>
      </c>
    </row>
    <row r="8" spans="1:22" x14ac:dyDescent="0.25">
      <c r="A8" s="11" t="s">
        <v>140</v>
      </c>
      <c r="B8" s="13">
        <v>3564</v>
      </c>
      <c r="C8" s="14">
        <f>(2953/B8*100)</f>
        <v>82.856341189674524</v>
      </c>
      <c r="D8" s="15">
        <v>611</v>
      </c>
      <c r="E8" s="14">
        <v>16.670048619999999</v>
      </c>
      <c r="F8" s="16">
        <v>1.7005185899999999</v>
      </c>
      <c r="G8" s="14">
        <v>7.6809552500000002</v>
      </c>
      <c r="H8" s="16">
        <v>1.0420506300000001</v>
      </c>
      <c r="I8" s="14">
        <v>1.1749912499999999</v>
      </c>
      <c r="J8" s="16">
        <v>0.45592660000000002</v>
      </c>
      <c r="K8" s="14">
        <v>74.474004870000002</v>
      </c>
      <c r="L8" s="16">
        <v>1.99180527</v>
      </c>
      <c r="M8" s="14" t="s">
        <v>139</v>
      </c>
      <c r="N8" s="16" t="s">
        <v>139</v>
      </c>
      <c r="O8" s="14">
        <v>0</v>
      </c>
      <c r="P8" s="16">
        <v>0</v>
      </c>
      <c r="Q8" s="14">
        <v>0</v>
      </c>
      <c r="R8" s="16">
        <v>0</v>
      </c>
      <c r="S8" s="14">
        <v>0</v>
      </c>
      <c r="T8" s="16">
        <v>0</v>
      </c>
      <c r="U8" s="14">
        <v>0</v>
      </c>
      <c r="V8" s="16">
        <v>0</v>
      </c>
    </row>
    <row r="9" spans="1:22" x14ac:dyDescent="0.25">
      <c r="A9" s="11" t="s">
        <v>141</v>
      </c>
      <c r="B9" s="13">
        <v>4899</v>
      </c>
      <c r="C9" s="14">
        <f>(4101/B9*100)</f>
        <v>83.710961420698098</v>
      </c>
      <c r="D9" s="15">
        <v>798</v>
      </c>
      <c r="E9" s="14">
        <v>17.9591426</v>
      </c>
      <c r="F9" s="16">
        <v>1.5130312800000001</v>
      </c>
      <c r="G9" s="14">
        <v>7.54520474</v>
      </c>
      <c r="H9" s="16">
        <v>0.95280763999999996</v>
      </c>
      <c r="I9" s="14">
        <v>0.93173373999999998</v>
      </c>
      <c r="J9" s="16">
        <v>0.35047930999999999</v>
      </c>
      <c r="K9" s="14">
        <v>73.563918920000006</v>
      </c>
      <c r="L9" s="16">
        <v>1.6918628</v>
      </c>
      <c r="M9" s="14" t="s">
        <v>139</v>
      </c>
      <c r="N9" s="16" t="s">
        <v>139</v>
      </c>
      <c r="O9" s="14">
        <v>0</v>
      </c>
      <c r="P9" s="16">
        <v>0</v>
      </c>
      <c r="Q9" s="14">
        <v>0</v>
      </c>
      <c r="R9" s="16">
        <v>0</v>
      </c>
      <c r="S9" s="14">
        <v>0</v>
      </c>
      <c r="T9" s="16">
        <v>0</v>
      </c>
      <c r="U9" s="14">
        <v>0</v>
      </c>
      <c r="V9" s="16">
        <v>0</v>
      </c>
    </row>
    <row r="10" spans="1:22" x14ac:dyDescent="0.25">
      <c r="A10" s="11" t="s">
        <v>142</v>
      </c>
      <c r="B10" s="13">
        <v>10036</v>
      </c>
      <c r="C10" s="14">
        <f>(8359/B10*100)</f>
        <v>83.290155440414509</v>
      </c>
      <c r="D10" s="15">
        <v>1677</v>
      </c>
      <c r="E10" s="14">
        <v>18.086716620000001</v>
      </c>
      <c r="F10" s="16">
        <v>1.3108296699999999</v>
      </c>
      <c r="G10" s="14">
        <v>9.62628314</v>
      </c>
      <c r="H10" s="16">
        <v>1.0723220600000001</v>
      </c>
      <c r="I10" s="14">
        <v>0.76272969000000002</v>
      </c>
      <c r="J10" s="16">
        <v>0.25624752000000001</v>
      </c>
      <c r="K10" s="14">
        <v>71.524270549999997</v>
      </c>
      <c r="L10" s="16">
        <v>1.4721143299999999</v>
      </c>
      <c r="M10" s="14" t="s">
        <v>139</v>
      </c>
      <c r="N10" s="16" t="s">
        <v>139</v>
      </c>
      <c r="O10" s="14">
        <v>0</v>
      </c>
      <c r="P10" s="16">
        <v>0</v>
      </c>
      <c r="Q10" s="14">
        <v>0</v>
      </c>
      <c r="R10" s="16">
        <v>0</v>
      </c>
      <c r="S10" s="14">
        <v>0</v>
      </c>
      <c r="T10" s="16">
        <v>0</v>
      </c>
      <c r="U10" s="14">
        <v>0</v>
      </c>
      <c r="V10" s="16">
        <v>0</v>
      </c>
    </row>
    <row r="11" spans="1:22" x14ac:dyDescent="0.25">
      <c r="A11" s="11" t="s">
        <v>143</v>
      </c>
      <c r="B11" s="13">
        <v>3553</v>
      </c>
      <c r="C11" s="14">
        <f>(2964/B11*100)</f>
        <v>83.422459893048128</v>
      </c>
      <c r="D11" s="15">
        <v>589</v>
      </c>
      <c r="E11" s="14">
        <v>25.303801750000002</v>
      </c>
      <c r="F11" s="16">
        <v>2.6623747400000002</v>
      </c>
      <c r="G11" s="14">
        <v>14.52394608</v>
      </c>
      <c r="H11" s="16">
        <v>1.50420581</v>
      </c>
      <c r="I11" s="14">
        <v>1.1701443899999999</v>
      </c>
      <c r="J11" s="16">
        <v>0.49368721999999998</v>
      </c>
      <c r="K11" s="14">
        <v>59.002107789999997</v>
      </c>
      <c r="L11" s="16">
        <v>2.8926406199999999</v>
      </c>
      <c r="M11" s="14" t="s">
        <v>139</v>
      </c>
      <c r="N11" s="16" t="s">
        <v>139</v>
      </c>
      <c r="O11" s="14">
        <v>0</v>
      </c>
      <c r="P11" s="16">
        <v>0</v>
      </c>
      <c r="Q11" s="14">
        <v>0</v>
      </c>
      <c r="R11" s="16">
        <v>0</v>
      </c>
      <c r="S11" s="14">
        <v>0</v>
      </c>
      <c r="T11" s="16">
        <v>0</v>
      </c>
      <c r="U11" s="14">
        <v>0</v>
      </c>
      <c r="V11" s="16">
        <v>0</v>
      </c>
    </row>
    <row r="12" spans="1:22" x14ac:dyDescent="0.25">
      <c r="A12" s="11" t="s">
        <v>144</v>
      </c>
      <c r="B12" s="13">
        <v>3472</v>
      </c>
      <c r="C12" s="14">
        <f>(2865/B12*100)</f>
        <v>82.517281105990776</v>
      </c>
      <c r="D12" s="15">
        <v>607</v>
      </c>
      <c r="E12" s="14">
        <v>17.26301638</v>
      </c>
      <c r="F12" s="16">
        <v>1.5477699899999999</v>
      </c>
      <c r="G12" s="14">
        <v>10.238461790000001</v>
      </c>
      <c r="H12" s="16">
        <v>1.3796912400000001</v>
      </c>
      <c r="I12" s="14">
        <v>0.97530203999999998</v>
      </c>
      <c r="J12" s="16">
        <v>0.50145607999999997</v>
      </c>
      <c r="K12" s="14">
        <v>71.523219800000007</v>
      </c>
      <c r="L12" s="16">
        <v>2.0764719299999999</v>
      </c>
      <c r="M12" s="14" t="s">
        <v>139</v>
      </c>
      <c r="N12" s="16" t="s">
        <v>139</v>
      </c>
      <c r="O12" s="14">
        <v>0</v>
      </c>
      <c r="P12" s="16">
        <v>0</v>
      </c>
      <c r="Q12" s="14">
        <v>0</v>
      </c>
      <c r="R12" s="16">
        <v>0</v>
      </c>
      <c r="S12" s="14">
        <v>0</v>
      </c>
      <c r="T12" s="16">
        <v>0</v>
      </c>
      <c r="U12" s="14">
        <v>0</v>
      </c>
      <c r="V12" s="16">
        <v>0</v>
      </c>
    </row>
    <row r="13" spans="1:22" x14ac:dyDescent="0.25">
      <c r="A13" s="11" t="s">
        <v>145</v>
      </c>
      <c r="B13" s="13">
        <v>3559</v>
      </c>
      <c r="C13" s="14">
        <f>(3005/B13*100)</f>
        <v>84.433829727451524</v>
      </c>
      <c r="D13" s="15">
        <v>554</v>
      </c>
      <c r="E13" s="14">
        <v>13.40618115</v>
      </c>
      <c r="F13" s="16">
        <v>1.9389778</v>
      </c>
      <c r="G13" s="14">
        <v>8.5537554599999996</v>
      </c>
      <c r="H13" s="16">
        <v>1.1519085899999999</v>
      </c>
      <c r="I13" s="14">
        <v>8.8880390000000004E-2</v>
      </c>
      <c r="J13" s="16">
        <v>6.2541860000000005E-2</v>
      </c>
      <c r="K13" s="14">
        <v>77.951183009999994</v>
      </c>
      <c r="L13" s="16">
        <v>2.3604014599999998</v>
      </c>
      <c r="M13" s="14" t="s">
        <v>139</v>
      </c>
      <c r="N13" s="16" t="s">
        <v>139</v>
      </c>
      <c r="O13" s="14">
        <v>0</v>
      </c>
      <c r="P13" s="16">
        <v>0</v>
      </c>
      <c r="Q13" s="14">
        <v>0</v>
      </c>
      <c r="R13" s="16">
        <v>0</v>
      </c>
      <c r="S13" s="14">
        <v>0</v>
      </c>
      <c r="T13" s="16">
        <v>0</v>
      </c>
      <c r="U13" s="14">
        <v>0</v>
      </c>
      <c r="V13" s="16">
        <v>0</v>
      </c>
    </row>
    <row r="14" spans="1:22" x14ac:dyDescent="0.25">
      <c r="A14" s="11" t="s">
        <v>146</v>
      </c>
      <c r="B14" s="13">
        <v>2799</v>
      </c>
      <c r="C14" s="14">
        <f>(2321/B14*100)</f>
        <v>82.922472311539835</v>
      </c>
      <c r="D14" s="15">
        <v>478</v>
      </c>
      <c r="E14" s="14">
        <v>13.174282440000001</v>
      </c>
      <c r="F14" s="16">
        <v>1.62943847</v>
      </c>
      <c r="G14" s="14">
        <v>7.5057419400000001</v>
      </c>
      <c r="H14" s="16">
        <v>1.5037726</v>
      </c>
      <c r="I14" s="14">
        <v>1.09190627</v>
      </c>
      <c r="J14" s="16">
        <v>0.49368161999999999</v>
      </c>
      <c r="K14" s="14">
        <v>78.228069349999998</v>
      </c>
      <c r="L14" s="16">
        <v>2.0553043899999999</v>
      </c>
      <c r="M14" s="14" t="s">
        <v>139</v>
      </c>
      <c r="N14" s="16" t="s">
        <v>139</v>
      </c>
      <c r="O14" s="14">
        <v>0</v>
      </c>
      <c r="P14" s="16">
        <v>0</v>
      </c>
      <c r="Q14" s="14">
        <v>0</v>
      </c>
      <c r="R14" s="16">
        <v>0</v>
      </c>
      <c r="S14" s="14">
        <v>0</v>
      </c>
      <c r="T14" s="16">
        <v>0</v>
      </c>
      <c r="U14" s="14">
        <v>0</v>
      </c>
      <c r="V14" s="16">
        <v>0</v>
      </c>
    </row>
    <row r="15" spans="1:22" x14ac:dyDescent="0.25">
      <c r="A15" s="11" t="s">
        <v>147</v>
      </c>
      <c r="B15" s="13">
        <v>3019</v>
      </c>
      <c r="C15" s="14">
        <f>(2509/B15*100)</f>
        <v>83.10698906922822</v>
      </c>
      <c r="D15" s="15">
        <v>510</v>
      </c>
      <c r="E15" s="14">
        <v>13.80297234</v>
      </c>
      <c r="F15" s="16">
        <v>1.5161085000000001</v>
      </c>
      <c r="G15" s="14">
        <v>11.02871886</v>
      </c>
      <c r="H15" s="16">
        <v>1.5055612</v>
      </c>
      <c r="I15" s="14">
        <v>0.39059269000000002</v>
      </c>
      <c r="J15" s="16">
        <v>0.27968975000000001</v>
      </c>
      <c r="K15" s="14">
        <v>74.77771611</v>
      </c>
      <c r="L15" s="16">
        <v>1.9957901199999999</v>
      </c>
      <c r="M15" s="14" t="s">
        <v>139</v>
      </c>
      <c r="N15" s="16" t="s">
        <v>139</v>
      </c>
      <c r="O15" s="14">
        <v>0</v>
      </c>
      <c r="P15" s="16">
        <v>0</v>
      </c>
      <c r="Q15" s="14">
        <v>0</v>
      </c>
      <c r="R15" s="16">
        <v>0</v>
      </c>
      <c r="S15" s="14">
        <v>0</v>
      </c>
      <c r="T15" s="16">
        <v>0</v>
      </c>
      <c r="U15" s="14">
        <v>0</v>
      </c>
      <c r="V15" s="16">
        <v>0</v>
      </c>
    </row>
    <row r="16" spans="1:22" x14ac:dyDescent="0.25">
      <c r="A16" s="11" t="s">
        <v>148</v>
      </c>
      <c r="B16" s="13">
        <v>2997</v>
      </c>
      <c r="C16" s="14">
        <f>(2517/B16*100)</f>
        <v>83.983983983983975</v>
      </c>
      <c r="D16" s="15">
        <v>480</v>
      </c>
      <c r="E16" s="14">
        <v>21.091506290000002</v>
      </c>
      <c r="F16" s="16">
        <v>2.0069409199999999</v>
      </c>
      <c r="G16" s="14">
        <v>9.9376899499999993</v>
      </c>
      <c r="H16" s="16">
        <v>1.6420617500000001</v>
      </c>
      <c r="I16" s="14">
        <v>0.79985837000000004</v>
      </c>
      <c r="J16" s="16">
        <v>0.40451862999999999</v>
      </c>
      <c r="K16" s="14">
        <v>68.17094539</v>
      </c>
      <c r="L16" s="16">
        <v>2.2643616799999999</v>
      </c>
      <c r="M16" s="14" t="s">
        <v>139</v>
      </c>
      <c r="N16" s="16" t="s">
        <v>139</v>
      </c>
      <c r="O16" s="14">
        <v>0</v>
      </c>
      <c r="P16" s="16">
        <v>0</v>
      </c>
      <c r="Q16" s="14">
        <v>0</v>
      </c>
      <c r="R16" s="16">
        <v>0</v>
      </c>
      <c r="S16" s="14">
        <v>0</v>
      </c>
      <c r="T16" s="16">
        <v>0</v>
      </c>
      <c r="U16" s="14">
        <v>0</v>
      </c>
      <c r="V16" s="16">
        <v>0</v>
      </c>
    </row>
    <row r="17" spans="1:22" x14ac:dyDescent="0.25">
      <c r="A17" s="11" t="s">
        <v>149</v>
      </c>
      <c r="B17" s="13">
        <v>3307</v>
      </c>
      <c r="C17" s="14">
        <f>(2793/B17*100)</f>
        <v>84.457211974599332</v>
      </c>
      <c r="D17" s="15">
        <v>514</v>
      </c>
      <c r="E17" s="14">
        <v>14.10789261</v>
      </c>
      <c r="F17" s="16">
        <v>1.8708978000000001</v>
      </c>
      <c r="G17" s="14">
        <v>6.3931442000000001</v>
      </c>
      <c r="H17" s="16">
        <v>1.03145552</v>
      </c>
      <c r="I17" s="14">
        <v>1.42289116</v>
      </c>
      <c r="J17" s="16">
        <v>0.51725986000000002</v>
      </c>
      <c r="K17" s="14">
        <v>78.076072030000006</v>
      </c>
      <c r="L17" s="16">
        <v>1.91261412</v>
      </c>
      <c r="M17" s="14" t="s">
        <v>139</v>
      </c>
      <c r="N17" s="16" t="s">
        <v>139</v>
      </c>
      <c r="O17" s="14">
        <v>0</v>
      </c>
      <c r="P17" s="16">
        <v>0</v>
      </c>
      <c r="Q17" s="14">
        <v>0</v>
      </c>
      <c r="R17" s="16">
        <v>0</v>
      </c>
      <c r="S17" s="14">
        <v>0</v>
      </c>
      <c r="T17" s="16">
        <v>0</v>
      </c>
      <c r="U17" s="14">
        <v>0</v>
      </c>
      <c r="V17" s="16">
        <v>0</v>
      </c>
    </row>
    <row r="18" spans="1:22" x14ac:dyDescent="0.25">
      <c r="A18" s="11" t="s">
        <v>150</v>
      </c>
      <c r="B18" s="13">
        <v>2826</v>
      </c>
      <c r="C18" s="14">
        <f>(2348/B18*100)</f>
        <v>83.08563340410474</v>
      </c>
      <c r="D18" s="15">
        <v>478</v>
      </c>
      <c r="E18" s="14">
        <v>32.619831150000003</v>
      </c>
      <c r="F18" s="16">
        <v>2.7684067200000002</v>
      </c>
      <c r="G18" s="14">
        <v>14.0689584</v>
      </c>
      <c r="H18" s="16">
        <v>1.67131177</v>
      </c>
      <c r="I18" s="14">
        <v>1.32333699</v>
      </c>
      <c r="J18" s="16">
        <v>0.52730060999999995</v>
      </c>
      <c r="K18" s="14">
        <v>51.987873450000002</v>
      </c>
      <c r="L18" s="16">
        <v>3.0168786700000001</v>
      </c>
      <c r="M18" s="14" t="s">
        <v>139</v>
      </c>
      <c r="N18" s="16" t="s">
        <v>139</v>
      </c>
      <c r="O18" s="14">
        <v>0</v>
      </c>
      <c r="P18" s="16">
        <v>0</v>
      </c>
      <c r="Q18" s="14">
        <v>0</v>
      </c>
      <c r="R18" s="16">
        <v>0</v>
      </c>
      <c r="S18" s="14">
        <v>0</v>
      </c>
      <c r="T18" s="16">
        <v>0</v>
      </c>
      <c r="U18" s="14">
        <v>0</v>
      </c>
      <c r="V18" s="16">
        <v>0</v>
      </c>
    </row>
    <row r="19" spans="1:22" x14ac:dyDescent="0.25">
      <c r="A19" s="11" t="s">
        <v>151</v>
      </c>
      <c r="B19" s="13">
        <v>2808</v>
      </c>
      <c r="C19" s="14">
        <f>(2341/B19*100)</f>
        <v>83.368945868945872</v>
      </c>
      <c r="D19" s="15">
        <v>467</v>
      </c>
      <c r="E19" s="14">
        <v>22.181291290000001</v>
      </c>
      <c r="F19" s="16">
        <v>2.3162992999999998</v>
      </c>
      <c r="G19" s="14">
        <v>10.678263360000001</v>
      </c>
      <c r="H19" s="16">
        <v>2.06669065</v>
      </c>
      <c r="I19" s="14">
        <v>1.7768460399999999</v>
      </c>
      <c r="J19" s="16">
        <v>0.57444956000000003</v>
      </c>
      <c r="K19" s="14">
        <v>65.363599309999998</v>
      </c>
      <c r="L19" s="16">
        <v>2.3515870300000001</v>
      </c>
      <c r="M19" s="14" t="s">
        <v>139</v>
      </c>
      <c r="N19" s="16" t="s">
        <v>139</v>
      </c>
      <c r="O19" s="14">
        <v>0</v>
      </c>
      <c r="P19" s="16">
        <v>0</v>
      </c>
      <c r="Q19" s="14">
        <v>0</v>
      </c>
      <c r="R19" s="16">
        <v>0</v>
      </c>
      <c r="S19" s="14">
        <v>0</v>
      </c>
      <c r="T19" s="16">
        <v>0</v>
      </c>
      <c r="U19" s="14">
        <v>0</v>
      </c>
      <c r="V19" s="16">
        <v>0</v>
      </c>
    </row>
    <row r="20" spans="1:22" x14ac:dyDescent="0.25">
      <c r="A20" s="11" t="s">
        <v>152</v>
      </c>
      <c r="B20" s="13">
        <v>1630</v>
      </c>
      <c r="C20" s="14">
        <f>(1364/B20*100)</f>
        <v>83.680981595092035</v>
      </c>
      <c r="D20" s="15">
        <v>266</v>
      </c>
      <c r="E20" s="14">
        <v>22.92082783</v>
      </c>
      <c r="F20" s="16">
        <v>2.60211638</v>
      </c>
      <c r="G20" s="14">
        <v>11.42052238</v>
      </c>
      <c r="H20" s="16">
        <v>2.0538558600000001</v>
      </c>
      <c r="I20" s="14">
        <v>0.68985326000000002</v>
      </c>
      <c r="J20" s="16">
        <v>0.48269894000000002</v>
      </c>
      <c r="K20" s="14">
        <v>64.968796530000006</v>
      </c>
      <c r="L20" s="16">
        <v>3.22741773</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(2446/B22*100)</f>
        <v>83.452746502900027</v>
      </c>
      <c r="D22" s="15">
        <v>485</v>
      </c>
      <c r="E22" s="14">
        <v>28.67972344</v>
      </c>
      <c r="F22" s="16">
        <v>2.2718740199999998</v>
      </c>
      <c r="G22" s="14">
        <v>13.599554449999999</v>
      </c>
      <c r="H22" s="16">
        <v>1.5299709800000001</v>
      </c>
      <c r="I22" s="14">
        <v>0.61335269999999997</v>
      </c>
      <c r="J22" s="16">
        <v>0.35078774000000001</v>
      </c>
      <c r="K22" s="14">
        <v>57.107369400000003</v>
      </c>
      <c r="L22" s="16">
        <v>2.3273246699999999</v>
      </c>
      <c r="M22" s="14" t="s">
        <v>139</v>
      </c>
      <c r="N22" s="16" t="s">
        <v>139</v>
      </c>
      <c r="O22" s="14">
        <v>0</v>
      </c>
      <c r="P22" s="16">
        <v>0</v>
      </c>
      <c r="Q22" s="14">
        <v>0</v>
      </c>
      <c r="R22" s="16">
        <v>0</v>
      </c>
      <c r="S22" s="14">
        <v>0</v>
      </c>
      <c r="T22" s="16">
        <v>0</v>
      </c>
      <c r="U22" s="14">
        <v>0</v>
      </c>
      <c r="V22" s="16">
        <v>0</v>
      </c>
    </row>
    <row r="23" spans="1:22" x14ac:dyDescent="0.25">
      <c r="A23" s="11" t="s">
        <v>156</v>
      </c>
      <c r="B23" s="13">
        <v>5791</v>
      </c>
      <c r="C23" s="14">
        <f>(4797/B23*100)</f>
        <v>82.835434294595061</v>
      </c>
      <c r="D23" s="15">
        <v>994</v>
      </c>
      <c r="E23" s="14">
        <v>21.229908479999999</v>
      </c>
      <c r="F23" s="16">
        <v>1.89276643</v>
      </c>
      <c r="G23" s="14">
        <v>12.25103477</v>
      </c>
      <c r="H23" s="16">
        <v>1.5469817699999999</v>
      </c>
      <c r="I23" s="14">
        <v>0.44136603000000002</v>
      </c>
      <c r="J23" s="16">
        <v>0.21963466000000001</v>
      </c>
      <c r="K23" s="14">
        <v>66.077690720000007</v>
      </c>
      <c r="L23" s="16">
        <v>2.2638216299999998</v>
      </c>
      <c r="M23" s="14" t="s">
        <v>139</v>
      </c>
      <c r="N23" s="16" t="s">
        <v>139</v>
      </c>
      <c r="O23" s="14">
        <v>0</v>
      </c>
      <c r="P23" s="16">
        <v>0</v>
      </c>
      <c r="Q23" s="14">
        <v>0</v>
      </c>
      <c r="R23" s="16">
        <v>0</v>
      </c>
      <c r="S23" s="14">
        <v>0</v>
      </c>
      <c r="T23" s="16">
        <v>0</v>
      </c>
      <c r="U23" s="14">
        <v>0</v>
      </c>
      <c r="V23" s="16">
        <v>0</v>
      </c>
    </row>
    <row r="24" spans="1:22" x14ac:dyDescent="0.25">
      <c r="A24" s="11" t="s">
        <v>157</v>
      </c>
      <c r="B24" s="13">
        <v>3338</v>
      </c>
      <c r="C24" s="14">
        <f>(2777/B24*100)</f>
        <v>83.193529059316944</v>
      </c>
      <c r="D24" s="15">
        <v>561</v>
      </c>
      <c r="E24" s="14">
        <v>7.1077561400000002</v>
      </c>
      <c r="F24" s="16">
        <v>1.0482163900000001</v>
      </c>
      <c r="G24" s="14">
        <v>10.58889505</v>
      </c>
      <c r="H24" s="16">
        <v>1.20811822</v>
      </c>
      <c r="I24" s="14">
        <v>3.0859944499999998</v>
      </c>
      <c r="J24" s="16">
        <v>0.64127869999999998</v>
      </c>
      <c r="K24" s="14">
        <v>79.217354369999995</v>
      </c>
      <c r="L24" s="16">
        <v>1.5998722700000001</v>
      </c>
      <c r="M24" s="14" t="s">
        <v>139</v>
      </c>
      <c r="N24" s="16" t="s">
        <v>139</v>
      </c>
      <c r="O24" s="14">
        <v>0</v>
      </c>
      <c r="P24" s="16">
        <v>0</v>
      </c>
      <c r="Q24" s="14">
        <v>0</v>
      </c>
      <c r="R24" s="16">
        <v>0</v>
      </c>
      <c r="S24" s="14">
        <v>0</v>
      </c>
      <c r="T24" s="16">
        <v>0</v>
      </c>
      <c r="U24" s="14">
        <v>0</v>
      </c>
      <c r="V24" s="16">
        <v>0</v>
      </c>
    </row>
    <row r="25" spans="1:22" x14ac:dyDescent="0.25">
      <c r="A25" s="11" t="s">
        <v>158</v>
      </c>
      <c r="B25" s="13">
        <v>2912</v>
      </c>
      <c r="C25" s="14">
        <f>(2409/B25*100)</f>
        <v>82.72664835164835</v>
      </c>
      <c r="D25" s="15">
        <v>503</v>
      </c>
      <c r="E25" s="14">
        <v>11.78617249</v>
      </c>
      <c r="F25" s="16">
        <v>1.3860155999999999</v>
      </c>
      <c r="G25" s="14">
        <v>13.539226660000001</v>
      </c>
      <c r="H25" s="16">
        <v>1.49785207</v>
      </c>
      <c r="I25" s="14">
        <v>1.17198783</v>
      </c>
      <c r="J25" s="16">
        <v>0.54529561000000004</v>
      </c>
      <c r="K25" s="14">
        <v>73.502613019999998</v>
      </c>
      <c r="L25" s="16">
        <v>1.7447407100000001</v>
      </c>
      <c r="M25" s="14" t="s">
        <v>139</v>
      </c>
      <c r="N25" s="16" t="s">
        <v>139</v>
      </c>
      <c r="O25" s="14">
        <v>0</v>
      </c>
      <c r="P25" s="16">
        <v>0</v>
      </c>
      <c r="Q25" s="14">
        <v>0</v>
      </c>
      <c r="R25" s="16">
        <v>0</v>
      </c>
      <c r="S25" s="14">
        <v>0</v>
      </c>
      <c r="T25" s="16">
        <v>0</v>
      </c>
      <c r="U25" s="14">
        <v>0</v>
      </c>
      <c r="V25" s="16">
        <v>0</v>
      </c>
    </row>
    <row r="26" spans="1:22" x14ac:dyDescent="0.25">
      <c r="A26" s="11" t="s">
        <v>159</v>
      </c>
      <c r="B26" s="13">
        <v>2450</v>
      </c>
      <c r="C26" s="14">
        <f>(2044/B26*100)</f>
        <v>83.428571428571431</v>
      </c>
      <c r="D26" s="15">
        <v>406</v>
      </c>
      <c r="E26" s="14">
        <v>20.750929589999998</v>
      </c>
      <c r="F26" s="16">
        <v>2.10444926</v>
      </c>
      <c r="G26" s="14">
        <v>10.106182159999999</v>
      </c>
      <c r="H26" s="16">
        <v>1.53038312</v>
      </c>
      <c r="I26" s="14">
        <v>1.62958325</v>
      </c>
      <c r="J26" s="16">
        <v>0.67366693</v>
      </c>
      <c r="K26" s="14">
        <v>67.513305000000003</v>
      </c>
      <c r="L26" s="16">
        <v>2.3780227200000001</v>
      </c>
      <c r="M26" s="14" t="s">
        <v>139</v>
      </c>
      <c r="N26" s="16" t="s">
        <v>139</v>
      </c>
      <c r="O26" s="14">
        <v>0</v>
      </c>
      <c r="P26" s="16">
        <v>0</v>
      </c>
      <c r="Q26" s="14">
        <v>0</v>
      </c>
      <c r="R26" s="16">
        <v>0</v>
      </c>
      <c r="S26" s="14">
        <v>0</v>
      </c>
      <c r="T26" s="16">
        <v>0</v>
      </c>
      <c r="U26" s="14">
        <v>0</v>
      </c>
      <c r="V26" s="16">
        <v>0</v>
      </c>
    </row>
    <row r="27" spans="1:22" x14ac:dyDescent="0.25">
      <c r="A27" s="11" t="s">
        <v>160</v>
      </c>
      <c r="B27" s="13">
        <v>2616</v>
      </c>
      <c r="C27" s="14">
        <f>(2189/B27*100)</f>
        <v>83.677370030581045</v>
      </c>
      <c r="D27" s="15">
        <v>427</v>
      </c>
      <c r="E27" s="14">
        <v>20.036701669999999</v>
      </c>
      <c r="F27" s="16">
        <v>1.9271358700000001</v>
      </c>
      <c r="G27" s="14">
        <v>9.5171288399999998</v>
      </c>
      <c r="H27" s="16">
        <v>1.5666588299999999</v>
      </c>
      <c r="I27" s="14">
        <v>0.74633377000000001</v>
      </c>
      <c r="J27" s="16">
        <v>0.43184477999999998</v>
      </c>
      <c r="K27" s="14">
        <v>69.699835719999996</v>
      </c>
      <c r="L27" s="16">
        <v>2.4791204800000002</v>
      </c>
      <c r="M27" s="14" t="s">
        <v>139</v>
      </c>
      <c r="N27" s="16" t="s">
        <v>139</v>
      </c>
      <c r="O27" s="14">
        <v>0</v>
      </c>
      <c r="P27" s="16">
        <v>0</v>
      </c>
      <c r="Q27" s="14">
        <v>0</v>
      </c>
      <c r="R27" s="16">
        <v>0</v>
      </c>
      <c r="S27" s="14">
        <v>0</v>
      </c>
      <c r="T27" s="16">
        <v>0</v>
      </c>
      <c r="U27" s="14">
        <v>0</v>
      </c>
      <c r="V27" s="16">
        <v>0</v>
      </c>
    </row>
    <row r="28" spans="1:22" x14ac:dyDescent="0.25">
      <c r="A28" s="11" t="s">
        <v>161</v>
      </c>
      <c r="B28" s="13">
        <v>3765</v>
      </c>
      <c r="C28" s="14">
        <f>(3164/B28*100)</f>
        <v>84.037184594953516</v>
      </c>
      <c r="D28" s="15">
        <v>601</v>
      </c>
      <c r="E28" s="14">
        <v>32.416791439999997</v>
      </c>
      <c r="F28" s="16">
        <v>1.9477304</v>
      </c>
      <c r="G28" s="14">
        <v>13.706108240000001</v>
      </c>
      <c r="H28" s="16">
        <v>1.59670997</v>
      </c>
      <c r="I28" s="14">
        <v>1.96266075</v>
      </c>
      <c r="J28" s="16">
        <v>0.58608033999999998</v>
      </c>
      <c r="K28" s="14">
        <v>51.914439559999998</v>
      </c>
      <c r="L28" s="16">
        <v>2.0786326100000001</v>
      </c>
      <c r="M28" s="14" t="s">
        <v>139</v>
      </c>
      <c r="N28" s="16" t="s">
        <v>139</v>
      </c>
      <c r="O28" s="14">
        <v>0</v>
      </c>
      <c r="P28" s="16">
        <v>0</v>
      </c>
      <c r="Q28" s="14">
        <v>0</v>
      </c>
      <c r="R28" s="16">
        <v>0</v>
      </c>
      <c r="S28" s="14">
        <v>0</v>
      </c>
      <c r="T28" s="16">
        <v>0</v>
      </c>
      <c r="U28" s="14">
        <v>0</v>
      </c>
      <c r="V28" s="16">
        <v>0</v>
      </c>
    </row>
    <row r="29" spans="1:22" x14ac:dyDescent="0.25">
      <c r="A29" s="11" t="s">
        <v>162</v>
      </c>
      <c r="B29" s="13">
        <v>2685</v>
      </c>
      <c r="C29" s="14">
        <f>(2235/B29*100)</f>
        <v>83.240223463687144</v>
      </c>
      <c r="D29" s="15">
        <v>450</v>
      </c>
      <c r="E29" s="14">
        <v>14.968398349999999</v>
      </c>
      <c r="F29" s="16">
        <v>1.6452556</v>
      </c>
      <c r="G29" s="14">
        <v>8.9924038399999997</v>
      </c>
      <c r="H29" s="16">
        <v>1.2500708300000001</v>
      </c>
      <c r="I29" s="14">
        <v>1.48195861</v>
      </c>
      <c r="J29" s="16">
        <v>0.71886391999999999</v>
      </c>
      <c r="K29" s="14">
        <v>74.557239199999998</v>
      </c>
      <c r="L29" s="16">
        <v>1.9981369600000001</v>
      </c>
      <c r="M29" s="14" t="s">
        <v>139</v>
      </c>
      <c r="N29" s="16" t="s">
        <v>139</v>
      </c>
      <c r="O29" s="14">
        <v>0</v>
      </c>
      <c r="P29" s="16">
        <v>0</v>
      </c>
      <c r="Q29" s="14">
        <v>0</v>
      </c>
      <c r="R29" s="16">
        <v>0</v>
      </c>
      <c r="S29" s="14">
        <v>0</v>
      </c>
      <c r="T29" s="16">
        <v>0</v>
      </c>
      <c r="U29" s="14">
        <v>0</v>
      </c>
      <c r="V29" s="16">
        <v>0</v>
      </c>
    </row>
    <row r="30" spans="1:22" x14ac:dyDescent="0.25">
      <c r="A30" s="11" t="s">
        <v>163</v>
      </c>
      <c r="B30" s="13">
        <v>2263</v>
      </c>
      <c r="C30" s="14">
        <f>(1891/B30*100)</f>
        <v>83.561643835616437</v>
      </c>
      <c r="D30" s="15">
        <v>372</v>
      </c>
      <c r="E30" s="14">
        <v>15.27942522</v>
      </c>
      <c r="F30" s="16">
        <v>2.0162227800000001</v>
      </c>
      <c r="G30" s="14">
        <v>8.3744338099999993</v>
      </c>
      <c r="H30" s="16">
        <v>1.5971059599999999</v>
      </c>
      <c r="I30" s="14">
        <v>0.89533735000000003</v>
      </c>
      <c r="J30" s="16">
        <v>0.53935946000000001</v>
      </c>
      <c r="K30" s="14">
        <v>75.450803609999994</v>
      </c>
      <c r="L30" s="16">
        <v>2.5223300900000001</v>
      </c>
      <c r="M30" s="14" t="s">
        <v>139</v>
      </c>
      <c r="N30" s="16" t="s">
        <v>139</v>
      </c>
      <c r="O30" s="14">
        <v>0</v>
      </c>
      <c r="P30" s="16">
        <v>0</v>
      </c>
      <c r="Q30" s="14">
        <v>0</v>
      </c>
      <c r="R30" s="16">
        <v>0</v>
      </c>
      <c r="S30" s="14">
        <v>0</v>
      </c>
      <c r="T30" s="16">
        <v>0</v>
      </c>
      <c r="U30" s="14">
        <v>0</v>
      </c>
      <c r="V30" s="16">
        <v>0</v>
      </c>
    </row>
    <row r="31" spans="1:22" x14ac:dyDescent="0.25">
      <c r="A31" s="11" t="s">
        <v>164</v>
      </c>
      <c r="B31" s="13">
        <v>2750</v>
      </c>
      <c r="C31" s="14">
        <f>(2300/B31*100)</f>
        <v>83.636363636363626</v>
      </c>
      <c r="D31" s="15">
        <v>450</v>
      </c>
      <c r="E31" s="14">
        <v>20.613752789999999</v>
      </c>
      <c r="F31" s="16">
        <v>1.6780286600000001</v>
      </c>
      <c r="G31" s="14">
        <v>9.3347259600000001</v>
      </c>
      <c r="H31" s="16">
        <v>1.38047597</v>
      </c>
      <c r="I31" s="14">
        <v>0.21309974000000001</v>
      </c>
      <c r="J31" s="16">
        <v>0.20793802</v>
      </c>
      <c r="K31" s="14">
        <v>69.838421519999997</v>
      </c>
      <c r="L31" s="16">
        <v>1.88840487</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(3068/B33*100)</f>
        <v>83.505715841045173</v>
      </c>
      <c r="D33" s="15">
        <v>606</v>
      </c>
      <c r="E33" s="14">
        <v>17.30476462</v>
      </c>
      <c r="F33" s="16">
        <v>1.60192519</v>
      </c>
      <c r="G33" s="14">
        <v>8.4131259099999998</v>
      </c>
      <c r="H33" s="16">
        <v>1.30430107</v>
      </c>
      <c r="I33" s="14">
        <v>0.83245164000000005</v>
      </c>
      <c r="J33" s="16">
        <v>0.39365344000000002</v>
      </c>
      <c r="K33" s="14">
        <v>73.44965784</v>
      </c>
      <c r="L33" s="16">
        <v>1.7884540499999999</v>
      </c>
      <c r="M33" s="14" t="s">
        <v>139</v>
      </c>
      <c r="N33" s="16" t="s">
        <v>139</v>
      </c>
      <c r="O33" s="14">
        <v>0</v>
      </c>
      <c r="P33" s="16">
        <v>0</v>
      </c>
      <c r="Q33" s="14">
        <v>0</v>
      </c>
      <c r="R33" s="16">
        <v>0</v>
      </c>
      <c r="S33" s="14">
        <v>0</v>
      </c>
      <c r="T33" s="16">
        <v>0</v>
      </c>
      <c r="U33" s="14">
        <v>0</v>
      </c>
      <c r="V33" s="16">
        <v>0</v>
      </c>
    </row>
    <row r="34" spans="1:22" x14ac:dyDescent="0.25">
      <c r="A34" s="11" t="s">
        <v>167</v>
      </c>
      <c r="B34" s="13">
        <v>3315</v>
      </c>
      <c r="C34" s="14">
        <f>(2773/B34*100)</f>
        <v>83.650075414781298</v>
      </c>
      <c r="D34" s="15">
        <v>542</v>
      </c>
      <c r="E34" s="14">
        <v>23.59255907</v>
      </c>
      <c r="F34" s="16">
        <v>2.1167129899999999</v>
      </c>
      <c r="G34" s="14">
        <v>16.40119588</v>
      </c>
      <c r="H34" s="16">
        <v>1.58572867</v>
      </c>
      <c r="I34" s="14">
        <v>1.0158332999999999</v>
      </c>
      <c r="J34" s="16">
        <v>0.45750310999999999</v>
      </c>
      <c r="K34" s="14">
        <v>58.99041175</v>
      </c>
      <c r="L34" s="16">
        <v>2.45792783</v>
      </c>
      <c r="M34" s="14" t="s">
        <v>139</v>
      </c>
      <c r="N34" s="16" t="s">
        <v>139</v>
      </c>
      <c r="O34" s="14">
        <v>0</v>
      </c>
      <c r="P34" s="16">
        <v>0</v>
      </c>
      <c r="Q34" s="14">
        <v>0</v>
      </c>
      <c r="R34" s="16">
        <v>0</v>
      </c>
      <c r="S34" s="14">
        <v>0</v>
      </c>
      <c r="T34" s="16">
        <v>0</v>
      </c>
      <c r="U34" s="14">
        <v>0</v>
      </c>
      <c r="V34" s="16">
        <v>0</v>
      </c>
    </row>
    <row r="35" spans="1:22" x14ac:dyDescent="0.25">
      <c r="A35" s="11" t="s">
        <v>168</v>
      </c>
      <c r="B35" s="13">
        <v>3505</v>
      </c>
      <c r="C35" s="14">
        <f>(2930/B35*100)</f>
        <v>83.594864479315262</v>
      </c>
      <c r="D35" s="15">
        <v>575</v>
      </c>
      <c r="E35" s="14">
        <v>19.973294979999999</v>
      </c>
      <c r="F35" s="16">
        <v>2.0397207700000002</v>
      </c>
      <c r="G35" s="14">
        <v>9.1555922699999996</v>
      </c>
      <c r="H35" s="16">
        <v>1.24645958</v>
      </c>
      <c r="I35" s="14">
        <v>0.27865907000000001</v>
      </c>
      <c r="J35" s="16">
        <v>0.18393826999999999</v>
      </c>
      <c r="K35" s="14">
        <v>70.592453689999999</v>
      </c>
      <c r="L35" s="16">
        <v>2.0626262299999998</v>
      </c>
      <c r="M35" s="14" t="s">
        <v>139</v>
      </c>
      <c r="N35" s="16" t="s">
        <v>139</v>
      </c>
      <c r="O35" s="14">
        <v>0</v>
      </c>
      <c r="P35" s="16">
        <v>0</v>
      </c>
      <c r="Q35" s="14">
        <v>0</v>
      </c>
      <c r="R35" s="16">
        <v>0</v>
      </c>
      <c r="S35" s="14">
        <v>0</v>
      </c>
      <c r="T35" s="16">
        <v>0</v>
      </c>
      <c r="U35" s="14">
        <v>0</v>
      </c>
      <c r="V35" s="16">
        <v>0</v>
      </c>
    </row>
    <row r="36" spans="1:22" x14ac:dyDescent="0.25">
      <c r="A36" s="11" t="s">
        <v>169</v>
      </c>
      <c r="B36" s="13">
        <v>3332</v>
      </c>
      <c r="C36" s="14">
        <f>(2767/B36*100)</f>
        <v>83.043217286914768</v>
      </c>
      <c r="D36" s="15">
        <v>565</v>
      </c>
      <c r="E36" s="14">
        <v>21.357108719999999</v>
      </c>
      <c r="F36" s="16">
        <v>1.7213223200000001</v>
      </c>
      <c r="G36" s="14">
        <v>10.13655868</v>
      </c>
      <c r="H36" s="16">
        <v>1.30610866</v>
      </c>
      <c r="I36" s="14">
        <v>0.15300660999999999</v>
      </c>
      <c r="J36" s="16">
        <v>0.14690554</v>
      </c>
      <c r="K36" s="14">
        <v>68.353325979999994</v>
      </c>
      <c r="L36" s="16">
        <v>2.1956409799999999</v>
      </c>
      <c r="M36" s="14" t="s">
        <v>139</v>
      </c>
      <c r="N36" s="16" t="s">
        <v>139</v>
      </c>
      <c r="O36" s="14">
        <v>0</v>
      </c>
      <c r="P36" s="16">
        <v>0</v>
      </c>
      <c r="Q36" s="14">
        <v>0</v>
      </c>
      <c r="R36" s="16">
        <v>0</v>
      </c>
      <c r="S36" s="14">
        <v>0</v>
      </c>
      <c r="T36" s="16">
        <v>0</v>
      </c>
      <c r="U36" s="14">
        <v>0</v>
      </c>
      <c r="V36" s="16">
        <v>0</v>
      </c>
    </row>
    <row r="37" spans="1:22" x14ac:dyDescent="0.25">
      <c r="A37" s="11" t="s">
        <v>170</v>
      </c>
      <c r="B37" s="13">
        <v>2727</v>
      </c>
      <c r="C37" s="14">
        <f>(2291/B37*100)</f>
        <v>84.011734506784009</v>
      </c>
      <c r="D37" s="15">
        <v>436</v>
      </c>
      <c r="E37" s="14">
        <v>17.292993030000002</v>
      </c>
      <c r="F37" s="16">
        <v>2.1365302800000001</v>
      </c>
      <c r="G37" s="14">
        <v>6.1773923399999999</v>
      </c>
      <c r="H37" s="16">
        <v>1.10754299</v>
      </c>
      <c r="I37" s="14">
        <v>1.3225355400000001</v>
      </c>
      <c r="J37" s="16">
        <v>0.53504404999999999</v>
      </c>
      <c r="K37" s="14">
        <v>75.207079089999993</v>
      </c>
      <c r="L37" s="16">
        <v>2.2608092200000001</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(2449/B39*100)</f>
        <v>82.820426107541422</v>
      </c>
      <c r="D39" s="15">
        <v>508</v>
      </c>
      <c r="E39" s="14">
        <v>39.261016060000003</v>
      </c>
      <c r="F39" s="16">
        <v>2.8332996100000001</v>
      </c>
      <c r="G39" s="14">
        <v>14.85914985</v>
      </c>
      <c r="H39" s="16">
        <v>1.77351886</v>
      </c>
      <c r="I39" s="14">
        <v>2.0237311299999998</v>
      </c>
      <c r="J39" s="16">
        <v>0.62735814000000001</v>
      </c>
      <c r="K39" s="14">
        <v>43.856102960000001</v>
      </c>
      <c r="L39" s="16">
        <v>2.6890017500000001</v>
      </c>
      <c r="M39" s="14" t="s">
        <v>139</v>
      </c>
      <c r="N39" s="16" t="s">
        <v>139</v>
      </c>
      <c r="O39" s="14">
        <v>0</v>
      </c>
      <c r="P39" s="16">
        <v>0</v>
      </c>
      <c r="Q39" s="14">
        <v>0</v>
      </c>
      <c r="R39" s="16">
        <v>0</v>
      </c>
      <c r="S39" s="14">
        <v>0</v>
      </c>
      <c r="T39" s="16">
        <v>0</v>
      </c>
      <c r="U39" s="14">
        <v>0</v>
      </c>
      <c r="V39" s="16">
        <v>0</v>
      </c>
    </row>
    <row r="40" spans="1:22" x14ac:dyDescent="0.25">
      <c r="A40" s="11" t="s">
        <v>173</v>
      </c>
      <c r="B40" s="13">
        <v>7235</v>
      </c>
      <c r="C40" s="14">
        <f>(6010/B40*100)</f>
        <v>83.068417415342083</v>
      </c>
      <c r="D40" s="15">
        <v>1225</v>
      </c>
      <c r="E40" s="14">
        <v>18.621484070000001</v>
      </c>
      <c r="F40" s="16">
        <v>2.2048722500000002</v>
      </c>
      <c r="G40" s="14">
        <v>12.858776840000001</v>
      </c>
      <c r="H40" s="16">
        <v>1.46227507</v>
      </c>
      <c r="I40" s="14">
        <v>0.60833157999999998</v>
      </c>
      <c r="J40" s="16">
        <v>0.36745233999999999</v>
      </c>
      <c r="K40" s="14">
        <v>67.911407519999997</v>
      </c>
      <c r="L40" s="16">
        <v>2.5544086799999999</v>
      </c>
      <c r="M40" s="14" t="s">
        <v>139</v>
      </c>
      <c r="N40" s="16" t="s">
        <v>139</v>
      </c>
      <c r="O40" s="14">
        <v>0</v>
      </c>
      <c r="P40" s="16">
        <v>0</v>
      </c>
      <c r="Q40" s="14">
        <v>0</v>
      </c>
      <c r="R40" s="16">
        <v>0</v>
      </c>
      <c r="S40" s="14">
        <v>0</v>
      </c>
      <c r="T40" s="16">
        <v>0</v>
      </c>
      <c r="U40" s="14">
        <v>0</v>
      </c>
      <c r="V40" s="16">
        <v>0</v>
      </c>
    </row>
    <row r="41" spans="1:22" x14ac:dyDescent="0.25">
      <c r="A41" s="11" t="s">
        <v>174</v>
      </c>
      <c r="B41" s="13">
        <v>2858</v>
      </c>
      <c r="C41" s="14">
        <f>(2387/B41*100)</f>
        <v>83.519944016794966</v>
      </c>
      <c r="D41" s="15">
        <v>471</v>
      </c>
      <c r="E41" s="14">
        <v>17.871123170000001</v>
      </c>
      <c r="F41" s="16">
        <v>1.68296453</v>
      </c>
      <c r="G41" s="14">
        <v>14.52999769</v>
      </c>
      <c r="H41" s="16">
        <v>1.8248192599999999</v>
      </c>
      <c r="I41" s="14">
        <v>0.54784063999999999</v>
      </c>
      <c r="J41" s="16">
        <v>0.30688796000000002</v>
      </c>
      <c r="K41" s="14">
        <v>67.051038500000004</v>
      </c>
      <c r="L41" s="16">
        <v>2.26369139</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83.418849594780681</v>
      </c>
      <c r="D42" s="15">
        <f>IF(COUNT(D7:D41) &gt; 0, AVERAGE(D7:D41), "—")</f>
        <v>606.78125</v>
      </c>
      <c r="E42" s="14">
        <f>IF(COUNT(E7:E41) &gt; 0, AVERAGE(E7:E41), "—")</f>
        <v>19.809678669375</v>
      </c>
      <c r="F42" s="16">
        <f>IF(COUNT(F7:F41) &gt; 0, SQRT(SUMSQ(F7:F41)/(COUNT(F7:F41)*COUNT(F7:F41)) ), "—")</f>
        <v>0.34461972205033037</v>
      </c>
      <c r="G42" s="14">
        <f>IF(COUNT(G7:G41) &gt; 0, AVERAGE(G7:G41), "—")</f>
        <v>10.625363554374999</v>
      </c>
      <c r="H42" s="16">
        <f>IF(COUNT(H7:H41) &gt; 0, SQRT(SUMSQ(H7:H41)/(COUNT(H7:H41)*COUNT(H7:H41)) ), "—")</f>
        <v>0.25775172043550082</v>
      </c>
      <c r="I42" s="14">
        <f>IF(COUNT(I7:I41) &gt; 0, AVERAGE(I7:I41), "—")</f>
        <v>1.0073858078125</v>
      </c>
      <c r="J42" s="16">
        <f>IF(COUNT(J7:J41) &gt; 0, SQRT(SUMSQ(J7:J41)/(COUNT(J7:J41)*COUNT(J7:J41)) ), "—")</f>
        <v>8.0350751965368547E-2</v>
      </c>
      <c r="K42" s="14">
        <f>IF(COUNT(K7:K41) &gt; 0, AVERAGE(K7:K41), "—")</f>
        <v>68.557571969062508</v>
      </c>
      <c r="L42" s="16">
        <f>IF(COUNT(L7:L41) &gt; 0, SQRT(SUMSQ(L7:L41)/(COUNT(L7:L41)*COUNT(L7:L41)) ), "—")</f>
        <v>0.39517999543716997</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(9619/B46*100)</f>
        <v>86.908203830863755</v>
      </c>
      <c r="D46" s="15">
        <v>1449</v>
      </c>
      <c r="E46" s="14">
        <v>36.809248529999998</v>
      </c>
      <c r="F46" s="16">
        <v>1.62055741</v>
      </c>
      <c r="G46" s="14">
        <v>13.16022691</v>
      </c>
      <c r="H46" s="16">
        <v>1.04429963</v>
      </c>
      <c r="I46" s="14">
        <v>1.14294808</v>
      </c>
      <c r="J46" s="16">
        <v>0.25970407000000001</v>
      </c>
      <c r="K46" s="14">
        <v>48.88757648</v>
      </c>
      <c r="L46" s="16">
        <v>1.7201966900000001</v>
      </c>
      <c r="M46" s="14" t="s">
        <v>139</v>
      </c>
      <c r="N46" s="16" t="s">
        <v>139</v>
      </c>
      <c r="O46" s="14">
        <v>0</v>
      </c>
      <c r="P46" s="16">
        <v>0</v>
      </c>
      <c r="Q46" s="14">
        <v>0</v>
      </c>
      <c r="R46" s="16">
        <v>0</v>
      </c>
      <c r="S46" s="14">
        <v>0</v>
      </c>
      <c r="T46" s="16">
        <v>0</v>
      </c>
      <c r="U46" s="14">
        <v>0</v>
      </c>
      <c r="V46" s="16">
        <v>0</v>
      </c>
    </row>
    <row r="47" spans="1:22" x14ac:dyDescent="0.25">
      <c r="A47" s="11" t="s">
        <v>180</v>
      </c>
      <c r="B47" s="13">
        <v>3105</v>
      </c>
      <c r="C47" s="14">
        <f>(2613/B47*100)</f>
        <v>84.154589371980677</v>
      </c>
      <c r="D47" s="15">
        <v>492</v>
      </c>
      <c r="E47" s="14">
        <v>32.050738959999997</v>
      </c>
      <c r="F47" s="16">
        <v>2.1329177100000001</v>
      </c>
      <c r="G47" s="14">
        <v>12.57785453</v>
      </c>
      <c r="H47" s="16">
        <v>1.39109368</v>
      </c>
      <c r="I47" s="14">
        <v>0.77473577000000005</v>
      </c>
      <c r="J47" s="16">
        <v>0.37942357999999998</v>
      </c>
      <c r="K47" s="14">
        <v>54.596670750000001</v>
      </c>
      <c r="L47" s="16">
        <v>2.5458276299999998</v>
      </c>
      <c r="M47" s="14" t="s">
        <v>139</v>
      </c>
      <c r="N47" s="16" t="s">
        <v>139</v>
      </c>
      <c r="O47" s="14">
        <v>0</v>
      </c>
      <c r="P47" s="16">
        <v>0</v>
      </c>
      <c r="Q47" s="14">
        <v>0</v>
      </c>
      <c r="R47" s="16">
        <v>0</v>
      </c>
      <c r="S47" s="14">
        <v>0</v>
      </c>
      <c r="T47" s="16">
        <v>0</v>
      </c>
      <c r="U47" s="14">
        <v>0</v>
      </c>
      <c r="V47" s="16">
        <v>0</v>
      </c>
    </row>
    <row r="48" spans="1:22" x14ac:dyDescent="0.25">
      <c r="A48" s="11" t="s">
        <v>181</v>
      </c>
      <c r="B48" s="13">
        <v>5159</v>
      </c>
      <c r="C48" s="14">
        <f>(4290/B48*100)</f>
        <v>83.155650319829419</v>
      </c>
      <c r="D48" s="15">
        <v>869</v>
      </c>
      <c r="E48" s="14">
        <v>20.773781369999998</v>
      </c>
      <c r="F48" s="16">
        <v>1.6575470999999999</v>
      </c>
      <c r="G48" s="14">
        <v>7.7980005999999999</v>
      </c>
      <c r="H48" s="16">
        <v>1.0280340100000001</v>
      </c>
      <c r="I48" s="14">
        <v>0.43980501999999999</v>
      </c>
      <c r="J48" s="16">
        <v>0.26439178000000002</v>
      </c>
      <c r="K48" s="14">
        <v>70.988413010000002</v>
      </c>
      <c r="L48" s="16">
        <v>1.79919115</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(4699/B50*100)</f>
        <v>83.359943232215713</v>
      </c>
      <c r="D50" s="15">
        <v>938</v>
      </c>
      <c r="E50" s="14">
        <v>39.79802145</v>
      </c>
      <c r="F50" s="16">
        <v>2.18642424</v>
      </c>
      <c r="G50" s="14">
        <v>14.876369179999999</v>
      </c>
      <c r="H50" s="16">
        <v>1.4613991500000001</v>
      </c>
      <c r="I50" s="14">
        <v>0.96571439999999997</v>
      </c>
      <c r="J50" s="16">
        <v>0.37857434000000001</v>
      </c>
      <c r="K50" s="14">
        <v>44.35989498</v>
      </c>
      <c r="L50" s="16">
        <v>2.2014940099999998</v>
      </c>
      <c r="M50" s="14" t="s">
        <v>139</v>
      </c>
      <c r="N50" s="16" t="s">
        <v>139</v>
      </c>
      <c r="O50" s="14">
        <v>0</v>
      </c>
      <c r="P50" s="16">
        <v>0</v>
      </c>
      <c r="Q50" s="14">
        <v>0</v>
      </c>
      <c r="R50" s="16">
        <v>0</v>
      </c>
      <c r="S50" s="14">
        <v>0</v>
      </c>
      <c r="T50" s="16">
        <v>0</v>
      </c>
      <c r="U50" s="14">
        <v>0</v>
      </c>
      <c r="V50" s="16">
        <v>0</v>
      </c>
    </row>
    <row r="51" spans="1:22" x14ac:dyDescent="0.25">
      <c r="A51" s="11" t="s">
        <v>184</v>
      </c>
      <c r="B51" s="13">
        <v>3372</v>
      </c>
      <c r="C51" s="14">
        <f>(2870/B51*100)</f>
        <v>85.112692763938313</v>
      </c>
      <c r="D51" s="15">
        <v>502</v>
      </c>
      <c r="E51" s="14">
        <v>32.352819150000002</v>
      </c>
      <c r="F51" s="16">
        <v>2.3671668499999998</v>
      </c>
      <c r="G51" s="14">
        <v>9.2864340100000007</v>
      </c>
      <c r="H51" s="16">
        <v>1.4455671699999999</v>
      </c>
      <c r="I51" s="14">
        <v>1.1276632799999999</v>
      </c>
      <c r="J51" s="16">
        <v>0.50993988000000001</v>
      </c>
      <c r="K51" s="14">
        <v>57.233083569999998</v>
      </c>
      <c r="L51" s="16">
        <v>2.80568309</v>
      </c>
      <c r="M51" s="14" t="s">
        <v>139</v>
      </c>
      <c r="N51" s="16" t="s">
        <v>139</v>
      </c>
      <c r="O51" s="14">
        <v>0</v>
      </c>
      <c r="P51" s="16">
        <v>0</v>
      </c>
      <c r="Q51" s="14">
        <v>0</v>
      </c>
      <c r="R51" s="16">
        <v>0</v>
      </c>
      <c r="S51" s="14">
        <v>0</v>
      </c>
      <c r="T51" s="16">
        <v>0</v>
      </c>
      <c r="U51" s="14">
        <v>0</v>
      </c>
      <c r="V51" s="16">
        <v>0</v>
      </c>
    </row>
    <row r="52" spans="1:22" x14ac:dyDescent="0.25">
      <c r="A52" s="11" t="s">
        <v>185</v>
      </c>
      <c r="B52" s="13">
        <v>2796</v>
      </c>
      <c r="C52" s="14">
        <f>(2343/B52*100)</f>
        <v>83.798283261802581</v>
      </c>
      <c r="D52" s="15">
        <v>453</v>
      </c>
      <c r="E52" s="14">
        <v>27.294330389999999</v>
      </c>
      <c r="F52" s="16">
        <v>2.2748703099999998</v>
      </c>
      <c r="G52" s="14">
        <v>10.598597160000001</v>
      </c>
      <c r="H52" s="16">
        <v>1.4355348299999999</v>
      </c>
      <c r="I52" s="14">
        <v>0.51218819000000004</v>
      </c>
      <c r="J52" s="16">
        <v>0.37612161</v>
      </c>
      <c r="K52" s="14">
        <v>61.594884270000001</v>
      </c>
      <c r="L52" s="16">
        <v>2.2587780400000002</v>
      </c>
      <c r="M52" s="14" t="s">
        <v>139</v>
      </c>
      <c r="N52" s="16" t="s">
        <v>139</v>
      </c>
      <c r="O52" s="14">
        <v>0</v>
      </c>
      <c r="P52" s="16">
        <v>0</v>
      </c>
      <c r="Q52" s="14">
        <v>0</v>
      </c>
      <c r="R52" s="16">
        <v>0</v>
      </c>
      <c r="S52" s="14">
        <v>0</v>
      </c>
      <c r="T52" s="16">
        <v>0</v>
      </c>
      <c r="U52" s="14">
        <v>0</v>
      </c>
      <c r="V52" s="16">
        <v>0</v>
      </c>
    </row>
    <row r="53" spans="1:22" x14ac:dyDescent="0.25">
      <c r="A53" s="11" t="s">
        <v>186</v>
      </c>
      <c r="B53" s="13">
        <v>2811</v>
      </c>
      <c r="C53" s="14">
        <f>(2342/B53*100)</f>
        <v>83.315546069014587</v>
      </c>
      <c r="D53" s="15">
        <v>469</v>
      </c>
      <c r="E53" s="14">
        <v>39.560067789999998</v>
      </c>
      <c r="F53" s="16">
        <v>2.3644984999999998</v>
      </c>
      <c r="G53" s="14">
        <v>11.185014860000001</v>
      </c>
      <c r="H53" s="16">
        <v>1.3924905299999999</v>
      </c>
      <c r="I53" s="14">
        <v>1.40962089</v>
      </c>
      <c r="J53" s="16">
        <v>0.54958969000000002</v>
      </c>
      <c r="K53" s="14">
        <v>47.845296470000001</v>
      </c>
      <c r="L53" s="16">
        <v>2.2541569199999998</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(2244/B56*100)</f>
        <v>83.606557377049185</v>
      </c>
      <c r="D56" s="15">
        <v>440</v>
      </c>
      <c r="E56" s="14">
        <v>10.808661499999999</v>
      </c>
      <c r="F56" s="16">
        <v>1.8518424499999999</v>
      </c>
      <c r="G56" s="14">
        <v>14.238131449999999</v>
      </c>
      <c r="H56" s="16">
        <v>1.91323697</v>
      </c>
      <c r="I56" s="14">
        <v>1.1570164199999999</v>
      </c>
      <c r="J56" s="16">
        <v>0.51400482000000003</v>
      </c>
      <c r="K56" s="14">
        <v>73.796190629999998</v>
      </c>
      <c r="L56" s="16">
        <v>3.01920549</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(2784/B61*100)</f>
        <v>83.754512635379058</v>
      </c>
      <c r="D61" s="15">
        <v>540</v>
      </c>
      <c r="E61" s="14">
        <v>21.38692863</v>
      </c>
      <c r="F61" s="16">
        <v>1.8520509999999999</v>
      </c>
      <c r="G61" s="14">
        <v>11.173748789999999</v>
      </c>
      <c r="H61" s="16">
        <v>1.5901232700000001</v>
      </c>
      <c r="I61" s="14">
        <v>1.7985074400000001</v>
      </c>
      <c r="J61" s="16">
        <v>0.61374488999999999</v>
      </c>
      <c r="K61" s="14">
        <v>65.640815129999993</v>
      </c>
      <c r="L61" s="16">
        <v>2.22495113</v>
      </c>
      <c r="M61" s="14" t="s">
        <v>139</v>
      </c>
      <c r="N61" s="16" t="s">
        <v>139</v>
      </c>
      <c r="O61" s="14">
        <v>0</v>
      </c>
      <c r="P61" s="16">
        <v>0</v>
      </c>
      <c r="Q61" s="14">
        <v>0</v>
      </c>
      <c r="R61" s="16">
        <v>0</v>
      </c>
      <c r="S61" s="14">
        <v>0</v>
      </c>
      <c r="T61" s="16">
        <v>0</v>
      </c>
      <c r="U61" s="14">
        <v>0</v>
      </c>
      <c r="V61" s="16">
        <v>0</v>
      </c>
    </row>
    <row r="62" spans="1:22" x14ac:dyDescent="0.25">
      <c r="A62" s="11" t="s">
        <v>195</v>
      </c>
      <c r="B62" s="13">
        <v>2246</v>
      </c>
      <c r="C62" s="14">
        <f>(1850/B62*100)</f>
        <v>82.36865538735529</v>
      </c>
      <c r="D62" s="15">
        <v>396</v>
      </c>
      <c r="E62" s="14">
        <v>12.13892313</v>
      </c>
      <c r="F62" s="16">
        <v>1.76105041</v>
      </c>
      <c r="G62" s="14">
        <v>8.9046093299999995</v>
      </c>
      <c r="H62" s="16">
        <v>1.2902383399999999</v>
      </c>
      <c r="I62" s="14">
        <v>0.50187468000000002</v>
      </c>
      <c r="J62" s="16">
        <v>0.35221852999999997</v>
      </c>
      <c r="K62" s="14">
        <v>78.454592860000005</v>
      </c>
      <c r="L62" s="16">
        <v>1.78096952</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(2445/B66*100)</f>
        <v>84.485141672425712</v>
      </c>
      <c r="D66" s="15">
        <v>449</v>
      </c>
      <c r="E66" s="14">
        <v>39.42131363</v>
      </c>
      <c r="F66" s="16">
        <v>2.2079464899999999</v>
      </c>
      <c r="G66" s="14">
        <v>13.42601236</v>
      </c>
      <c r="H66" s="16">
        <v>1.6097772800000001</v>
      </c>
      <c r="I66" s="14">
        <v>0.22622999999999999</v>
      </c>
      <c r="J66" s="16">
        <v>0.22539118</v>
      </c>
      <c r="K66" s="14">
        <v>46.926444019999998</v>
      </c>
      <c r="L66" s="16">
        <v>2.3726288599999998</v>
      </c>
      <c r="M66" s="14" t="s">
        <v>139</v>
      </c>
      <c r="N66" s="16" t="s">
        <v>139</v>
      </c>
      <c r="O66" s="14">
        <v>0</v>
      </c>
      <c r="P66" s="16">
        <v>0</v>
      </c>
      <c r="Q66" s="14">
        <v>0</v>
      </c>
      <c r="R66" s="16">
        <v>0</v>
      </c>
      <c r="S66" s="14">
        <v>0</v>
      </c>
      <c r="T66" s="16">
        <v>0</v>
      </c>
      <c r="U66" s="14">
        <v>0</v>
      </c>
      <c r="V66" s="16">
        <v>0</v>
      </c>
    </row>
    <row r="67" spans="1:22" x14ac:dyDescent="0.25">
      <c r="A67" s="11" t="s">
        <v>200</v>
      </c>
      <c r="B67" s="13">
        <v>3511</v>
      </c>
      <c r="C67" s="14">
        <f>(2981/B67*100)</f>
        <v>84.904585588151519</v>
      </c>
      <c r="D67" s="15">
        <v>530</v>
      </c>
      <c r="E67" s="14">
        <v>41.953117659999997</v>
      </c>
      <c r="F67" s="16">
        <v>2.41890991</v>
      </c>
      <c r="G67" s="14">
        <v>16.24814838</v>
      </c>
      <c r="H67" s="16">
        <v>1.53421612</v>
      </c>
      <c r="I67" s="14">
        <v>1.6670649799999999</v>
      </c>
      <c r="J67" s="16">
        <v>0.47347355000000002</v>
      </c>
      <c r="K67" s="14">
        <v>40.13166897</v>
      </c>
      <c r="L67" s="16">
        <v>2.35562352</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(2445/B70*100)</f>
        <v>83.475588938204169</v>
      </c>
      <c r="D70" s="15">
        <v>484</v>
      </c>
      <c r="E70" s="14">
        <v>22.91263429</v>
      </c>
      <c r="F70" s="16">
        <v>2.2903295400000001</v>
      </c>
      <c r="G70" s="14">
        <v>6.3089859300000004</v>
      </c>
      <c r="H70" s="16">
        <v>0.77583369000000002</v>
      </c>
      <c r="I70" s="14">
        <v>0.47439569999999998</v>
      </c>
      <c r="J70" s="16">
        <v>0.33862757999999998</v>
      </c>
      <c r="K70" s="14">
        <v>70.303984080000006</v>
      </c>
      <c r="L70" s="16">
        <v>2.4242704700000002</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(3210/B72*100)</f>
        <v>82.540498842890202</v>
      </c>
      <c r="D72" s="15">
        <v>679</v>
      </c>
      <c r="E72" s="14">
        <v>10.32895697</v>
      </c>
      <c r="F72" s="16">
        <v>1.2694696000000001</v>
      </c>
      <c r="G72" s="14">
        <v>11.742736450000001</v>
      </c>
      <c r="H72" s="16">
        <v>1.3507119700000001</v>
      </c>
      <c r="I72" s="14">
        <v>1.6307032400000001</v>
      </c>
      <c r="J72" s="16">
        <v>0.56021116999999998</v>
      </c>
      <c r="K72" s="14">
        <v>76.297603339999995</v>
      </c>
      <c r="L72" s="16">
        <v>1.8361767499999999</v>
      </c>
      <c r="M72" s="14" t="s">
        <v>139</v>
      </c>
      <c r="N72" s="16" t="s">
        <v>139</v>
      </c>
      <c r="O72" s="14">
        <v>0</v>
      </c>
      <c r="P72" s="16">
        <v>0</v>
      </c>
      <c r="Q72" s="14">
        <v>0</v>
      </c>
      <c r="R72" s="16">
        <v>0</v>
      </c>
      <c r="S72" s="14">
        <v>0</v>
      </c>
      <c r="T72" s="16">
        <v>0</v>
      </c>
      <c r="U72" s="14">
        <v>0</v>
      </c>
      <c r="V72" s="16">
        <v>0</v>
      </c>
    </row>
    <row r="73" spans="1:22" x14ac:dyDescent="0.25">
      <c r="A73" s="11" t="s">
        <v>206</v>
      </c>
      <c r="B73" s="13">
        <v>3597</v>
      </c>
      <c r="C73" s="14">
        <f>(3003/B73*100)</f>
        <v>83.486238532110093</v>
      </c>
      <c r="D73" s="15">
        <v>594</v>
      </c>
      <c r="E73" s="14">
        <v>34.651607030000001</v>
      </c>
      <c r="F73" s="16">
        <v>2.3874797700000001</v>
      </c>
      <c r="G73" s="14">
        <v>24.53642185</v>
      </c>
      <c r="H73" s="16">
        <v>2.0670847399999999</v>
      </c>
      <c r="I73" s="14">
        <v>1.5597691199999999</v>
      </c>
      <c r="J73" s="16">
        <v>0.69354674999999999</v>
      </c>
      <c r="K73" s="14">
        <v>39.252201999999997</v>
      </c>
      <c r="L73" s="16">
        <v>2.5135670700000001</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(2046/B75*100)</f>
        <v>85.037406483790519</v>
      </c>
      <c r="D75" s="15">
        <v>360</v>
      </c>
      <c r="E75" s="14">
        <v>51.243186690000002</v>
      </c>
      <c r="F75" s="16">
        <v>2.55185518</v>
      </c>
      <c r="G75" s="14">
        <v>19.573471009999999</v>
      </c>
      <c r="H75" s="16">
        <v>2.2468542500000002</v>
      </c>
      <c r="I75" s="14">
        <v>0.95326010000000005</v>
      </c>
      <c r="J75" s="16">
        <v>0.46804454000000001</v>
      </c>
      <c r="K75" s="14">
        <v>28.230082199999998</v>
      </c>
      <c r="L75" s="16">
        <v>2.4251799300000001</v>
      </c>
      <c r="M75" s="14" t="s">
        <v>139</v>
      </c>
      <c r="N75" s="16" t="s">
        <v>139</v>
      </c>
      <c r="O75" s="14">
        <v>0</v>
      </c>
      <c r="P75" s="16">
        <v>0</v>
      </c>
      <c r="Q75" s="14">
        <v>0</v>
      </c>
      <c r="R75" s="16">
        <v>0</v>
      </c>
      <c r="S75" s="14">
        <v>0</v>
      </c>
      <c r="T75" s="16">
        <v>0</v>
      </c>
      <c r="U75" s="14">
        <v>0</v>
      </c>
      <c r="V75" s="16">
        <v>0</v>
      </c>
    </row>
    <row r="76" spans="1:22" x14ac:dyDescent="0.25">
      <c r="A76" s="11" t="s">
        <v>209</v>
      </c>
      <c r="B76" s="13">
        <v>7052</v>
      </c>
      <c r="C76" s="14">
        <f>(5868/B76*100)</f>
        <v>83.210436755530353</v>
      </c>
      <c r="D76" s="15">
        <v>1184</v>
      </c>
      <c r="E76" s="14">
        <v>37.720482369999999</v>
      </c>
      <c r="F76" s="16">
        <v>1.9455482200000001</v>
      </c>
      <c r="G76" s="14">
        <v>12.932383570000001</v>
      </c>
      <c r="H76" s="16">
        <v>1.1631639600000001</v>
      </c>
      <c r="I76" s="14">
        <v>0.81019655999999995</v>
      </c>
      <c r="J76" s="16">
        <v>0.29818894000000001</v>
      </c>
      <c r="K76" s="14">
        <v>48.536937500000001</v>
      </c>
      <c r="L76" s="16">
        <v>2.1236352200000002</v>
      </c>
      <c r="M76" s="14" t="s">
        <v>139</v>
      </c>
      <c r="N76" s="16" t="s">
        <v>139</v>
      </c>
      <c r="O76" s="14">
        <v>0</v>
      </c>
      <c r="P76" s="16">
        <v>0</v>
      </c>
      <c r="Q76" s="14">
        <v>0</v>
      </c>
      <c r="R76" s="16">
        <v>0</v>
      </c>
      <c r="S76" s="14">
        <v>0</v>
      </c>
      <c r="T76" s="16">
        <v>0</v>
      </c>
      <c r="U76" s="14">
        <v>0</v>
      </c>
      <c r="V76" s="16">
        <v>0</v>
      </c>
    </row>
    <row r="77" spans="1:22" x14ac:dyDescent="0.25">
      <c r="A77" s="11" t="s">
        <v>210</v>
      </c>
      <c r="B77" s="13">
        <v>2908</v>
      </c>
      <c r="C77" s="14">
        <f>(2466/B77*100)</f>
        <v>84.800550206327372</v>
      </c>
      <c r="D77" s="15">
        <v>442</v>
      </c>
      <c r="E77" s="14">
        <v>36.962196259999999</v>
      </c>
      <c r="F77" s="16">
        <v>2.8702294699999999</v>
      </c>
      <c r="G77" s="14">
        <v>12.216622190000001</v>
      </c>
      <c r="H77" s="16">
        <v>1.61123686</v>
      </c>
      <c r="I77" s="14">
        <v>1.17754311</v>
      </c>
      <c r="J77" s="16">
        <v>0.65473157000000004</v>
      </c>
      <c r="K77" s="14">
        <v>49.643638439999997</v>
      </c>
      <c r="L77" s="16">
        <v>2.7097499699999998</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(3457/B81*100)</f>
        <v>83.041076147009363</v>
      </c>
      <c r="D81" s="15">
        <v>706</v>
      </c>
      <c r="E81" s="14">
        <v>28.851964290000002</v>
      </c>
      <c r="F81" s="16">
        <v>2.39519518</v>
      </c>
      <c r="G81" s="14">
        <v>17.08858665</v>
      </c>
      <c r="H81" s="16">
        <v>1.9898012599999999</v>
      </c>
      <c r="I81" s="14">
        <v>1.12608664</v>
      </c>
      <c r="J81" s="16">
        <v>0.50892440000000005</v>
      </c>
      <c r="K81" s="14">
        <v>52.933362430000003</v>
      </c>
      <c r="L81" s="16">
        <v>2.37160517</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(6156/B7*100)</f>
        <v>83.561829781457845</v>
      </c>
      <c r="D7" s="15">
        <v>1211</v>
      </c>
      <c r="E7" s="14">
        <v>46.173721329999999</v>
      </c>
      <c r="F7" s="16">
        <v>1.8747362400000001</v>
      </c>
      <c r="G7" s="14">
        <v>53.826278670000001</v>
      </c>
      <c r="H7" s="16">
        <v>1.8747362400000001</v>
      </c>
      <c r="I7" s="14" t="s">
        <v>139</v>
      </c>
      <c r="J7" s="16" t="s">
        <v>139</v>
      </c>
      <c r="K7" s="14">
        <v>0</v>
      </c>
      <c r="L7" s="16">
        <v>0</v>
      </c>
      <c r="M7" s="14">
        <v>0</v>
      </c>
      <c r="N7" s="16">
        <v>0</v>
      </c>
      <c r="O7" s="14">
        <v>0</v>
      </c>
      <c r="P7" s="16">
        <v>0</v>
      </c>
      <c r="Q7" s="14">
        <v>0</v>
      </c>
      <c r="R7" s="16">
        <v>0</v>
      </c>
    </row>
    <row r="8" spans="1:18" x14ac:dyDescent="0.25">
      <c r="A8" s="11" t="s">
        <v>140</v>
      </c>
      <c r="B8" s="13">
        <v>3564</v>
      </c>
      <c r="C8" s="14">
        <f>(2953/B8*100)</f>
        <v>82.856341189674524</v>
      </c>
      <c r="D8" s="15">
        <v>611</v>
      </c>
      <c r="E8" s="14">
        <v>51.675413310000003</v>
      </c>
      <c r="F8" s="16">
        <v>2.0320326500000001</v>
      </c>
      <c r="G8" s="14">
        <v>48.324586689999997</v>
      </c>
      <c r="H8" s="16">
        <v>2.0320326500000001</v>
      </c>
      <c r="I8" s="14" t="s">
        <v>139</v>
      </c>
      <c r="J8" s="16" t="s">
        <v>139</v>
      </c>
      <c r="K8" s="14">
        <v>0</v>
      </c>
      <c r="L8" s="16">
        <v>0</v>
      </c>
      <c r="M8" s="14">
        <v>0</v>
      </c>
      <c r="N8" s="16">
        <v>0</v>
      </c>
      <c r="O8" s="14">
        <v>0</v>
      </c>
      <c r="P8" s="16">
        <v>0</v>
      </c>
      <c r="Q8" s="14">
        <v>0</v>
      </c>
      <c r="R8" s="16">
        <v>0</v>
      </c>
    </row>
    <row r="9" spans="1:18" x14ac:dyDescent="0.25">
      <c r="A9" s="11" t="s">
        <v>141</v>
      </c>
      <c r="B9" s="13">
        <v>4899</v>
      </c>
      <c r="C9" s="14">
        <f>(4101/B9*100)</f>
        <v>83.710961420698098</v>
      </c>
      <c r="D9" s="15">
        <v>798</v>
      </c>
      <c r="E9" s="14">
        <v>53.55423055</v>
      </c>
      <c r="F9" s="16">
        <v>1.9172738300000001</v>
      </c>
      <c r="G9" s="14">
        <v>46.44576945</v>
      </c>
      <c r="H9" s="16">
        <v>1.9172738300000001</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44.76650506</v>
      </c>
      <c r="F10" s="16">
        <v>1.78575076</v>
      </c>
      <c r="G10" s="14">
        <v>55.23349494</v>
      </c>
      <c r="H10" s="16">
        <v>1.78575076</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(2964/B11*100)</f>
        <v>83.422459893048128</v>
      </c>
      <c r="D11" s="15">
        <v>589</v>
      </c>
      <c r="E11" s="14">
        <v>53.490329459999998</v>
      </c>
      <c r="F11" s="16">
        <v>2.5537588900000001</v>
      </c>
      <c r="G11" s="14">
        <v>46.509670540000002</v>
      </c>
      <c r="H11" s="16">
        <v>2.5537588900000001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(2865/B12*100)</f>
        <v>82.517281105990776</v>
      </c>
      <c r="D12" s="15">
        <v>607</v>
      </c>
      <c r="E12" s="14">
        <v>48.815601340000001</v>
      </c>
      <c r="F12" s="16">
        <v>2.1881452399999999</v>
      </c>
      <c r="G12" s="14">
        <v>51.184398659999999</v>
      </c>
      <c r="H12" s="16">
        <v>2.1881452399999999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47.648971420000002</v>
      </c>
      <c r="F13" s="16">
        <v>2.7721754500000002</v>
      </c>
      <c r="G13" s="14">
        <v>52.351028579999998</v>
      </c>
      <c r="H13" s="16">
        <v>2.7721754500000002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(2321/B14*100)</f>
        <v>82.922472311539835</v>
      </c>
      <c r="D14" s="15">
        <v>478</v>
      </c>
      <c r="E14" s="14">
        <v>44.474669800000001</v>
      </c>
      <c r="F14" s="16">
        <v>2.4078887600000001</v>
      </c>
      <c r="G14" s="14">
        <v>55.525330199999999</v>
      </c>
      <c r="H14" s="16">
        <v>2.4078887600000001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(2509/B15*100)</f>
        <v>83.10698906922822</v>
      </c>
      <c r="D15" s="15">
        <v>510</v>
      </c>
      <c r="E15" s="14">
        <v>50.861587669999999</v>
      </c>
      <c r="F15" s="16">
        <v>2.33844846</v>
      </c>
      <c r="G15" s="14">
        <v>49.138412330000001</v>
      </c>
      <c r="H15" s="16">
        <v>2.33844846</v>
      </c>
      <c r="I15" s="14" t="s">
        <v>139</v>
      </c>
      <c r="J15" s="16" t="s">
        <v>139</v>
      </c>
      <c r="K15" s="14">
        <v>0</v>
      </c>
      <c r="L15" s="16">
        <v>0</v>
      </c>
      <c r="M15" s="14">
        <v>0</v>
      </c>
      <c r="N15" s="16">
        <v>0</v>
      </c>
      <c r="O15" s="14">
        <v>0</v>
      </c>
      <c r="P15" s="16">
        <v>0</v>
      </c>
      <c r="Q15" s="14">
        <v>0</v>
      </c>
      <c r="R15" s="16">
        <v>0</v>
      </c>
    </row>
    <row r="16" spans="1:18" x14ac:dyDescent="0.25">
      <c r="A16" s="11" t="s">
        <v>148</v>
      </c>
      <c r="B16" s="13">
        <v>2997</v>
      </c>
      <c r="C16" s="14">
        <f>(2517/B16*100)</f>
        <v>83.983983983983975</v>
      </c>
      <c r="D16" s="15">
        <v>480</v>
      </c>
      <c r="E16" s="14">
        <v>49.820544259999998</v>
      </c>
      <c r="F16" s="16">
        <v>2.2928026400000001</v>
      </c>
      <c r="G16" s="14">
        <v>50.179455740000002</v>
      </c>
      <c r="H16" s="16">
        <v>2.2928026400000001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47.721861580000002</v>
      </c>
      <c r="F17" s="16">
        <v>2.31653675</v>
      </c>
      <c r="G17" s="14">
        <v>52.278138419999998</v>
      </c>
      <c r="H17" s="16">
        <v>2.31653675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66.397139460000005</v>
      </c>
      <c r="F18" s="16">
        <v>2.0078809299999998</v>
      </c>
      <c r="G18" s="14">
        <v>33.602860540000002</v>
      </c>
      <c r="H18" s="16">
        <v>2.0078809299999998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(2341/B19*100)</f>
        <v>83.368945868945872</v>
      </c>
      <c r="D19" s="15">
        <v>467</v>
      </c>
      <c r="E19" s="14">
        <v>69.068375720000006</v>
      </c>
      <c r="F19" s="16">
        <v>2.4530608900000002</v>
      </c>
      <c r="G19" s="14">
        <v>30.931624280000001</v>
      </c>
      <c r="H19" s="16">
        <v>2.4530608900000002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(1364/B20*100)</f>
        <v>83.680981595092035</v>
      </c>
      <c r="D20" s="15">
        <v>266</v>
      </c>
      <c r="E20" s="14">
        <v>53.95844709</v>
      </c>
      <c r="F20" s="16">
        <v>2.8565970900000002</v>
      </c>
      <c r="G20" s="14">
        <v>46.04155291</v>
      </c>
      <c r="H20" s="16">
        <v>2.8565970900000002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(2446/B22*100)</f>
        <v>83.452746502900027</v>
      </c>
      <c r="D22" s="15">
        <v>485</v>
      </c>
      <c r="E22" s="14">
        <v>56.017214860000003</v>
      </c>
      <c r="F22" s="16">
        <v>2.6751404600000002</v>
      </c>
      <c r="G22" s="14">
        <v>43.982785139999997</v>
      </c>
      <c r="H22" s="16">
        <v>2.6751404600000002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59.008600090000002</v>
      </c>
      <c r="F23" s="16">
        <v>1.91661065</v>
      </c>
      <c r="G23" s="14">
        <v>40.991399909999998</v>
      </c>
      <c r="H23" s="16">
        <v>1.91661065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(2777/B24*100)</f>
        <v>83.193529059316944</v>
      </c>
      <c r="D24" s="15">
        <v>561</v>
      </c>
      <c r="E24" s="14">
        <v>35.353288550000002</v>
      </c>
      <c r="F24" s="16">
        <v>1.9509669300000001</v>
      </c>
      <c r="G24" s="14">
        <v>64.646711449999998</v>
      </c>
      <c r="H24" s="16">
        <v>1.9509669300000001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53.172386549999999</v>
      </c>
      <c r="F25" s="16">
        <v>2.3071982700000002</v>
      </c>
      <c r="G25" s="14">
        <v>46.827613450000001</v>
      </c>
      <c r="H25" s="16">
        <v>2.3071982700000002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(2044/B26*100)</f>
        <v>83.428571428571431</v>
      </c>
      <c r="D26" s="15">
        <v>406</v>
      </c>
      <c r="E26" s="14">
        <v>63.70555641</v>
      </c>
      <c r="F26" s="16">
        <v>2.2906514800000002</v>
      </c>
      <c r="G26" s="14">
        <v>36.29444359</v>
      </c>
      <c r="H26" s="16">
        <v>2.2906514800000002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(2189/B27*100)</f>
        <v>83.677370030581045</v>
      </c>
      <c r="D27" s="15">
        <v>427</v>
      </c>
      <c r="E27" s="14">
        <v>51.96622361</v>
      </c>
      <c r="F27" s="16">
        <v>2.64046234</v>
      </c>
      <c r="G27" s="14">
        <v>48.03377639</v>
      </c>
      <c r="H27" s="16">
        <v>2.64046234</v>
      </c>
      <c r="I27" s="14" t="s">
        <v>139</v>
      </c>
      <c r="J27" s="16" t="s">
        <v>139</v>
      </c>
      <c r="K27" s="14">
        <v>0</v>
      </c>
      <c r="L27" s="16">
        <v>0</v>
      </c>
      <c r="M27" s="14">
        <v>0</v>
      </c>
      <c r="N27" s="16">
        <v>0</v>
      </c>
      <c r="O27" s="14">
        <v>0</v>
      </c>
      <c r="P27" s="16">
        <v>0</v>
      </c>
      <c r="Q27" s="14">
        <v>0</v>
      </c>
      <c r="R27" s="16">
        <v>0</v>
      </c>
    </row>
    <row r="28" spans="1:18" x14ac:dyDescent="0.25">
      <c r="A28" s="11" t="s">
        <v>161</v>
      </c>
      <c r="B28" s="13">
        <v>3765</v>
      </c>
      <c r="C28" s="14">
        <f>(3164/B28*100)</f>
        <v>84.037184594953516</v>
      </c>
      <c r="D28" s="15">
        <v>601</v>
      </c>
      <c r="E28" s="14">
        <v>57.006741480000002</v>
      </c>
      <c r="F28" s="16">
        <v>2.0852822199999999</v>
      </c>
      <c r="G28" s="14">
        <v>42.993258519999998</v>
      </c>
      <c r="H28" s="16">
        <v>2.0852822199999999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51.780007099999999</v>
      </c>
      <c r="F29" s="16">
        <v>2.6394741800000001</v>
      </c>
      <c r="G29" s="14">
        <v>48.219992900000001</v>
      </c>
      <c r="H29" s="16">
        <v>2.6394741800000001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(1891/B30*100)</f>
        <v>83.561643835616437</v>
      </c>
      <c r="D30" s="15">
        <v>372</v>
      </c>
      <c r="E30" s="14">
        <v>49.654623520000001</v>
      </c>
      <c r="F30" s="16">
        <v>2.6762249499999999</v>
      </c>
      <c r="G30" s="14">
        <v>50.345376479999999</v>
      </c>
      <c r="H30" s="16">
        <v>2.6762249499999999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(2300/B31*100)</f>
        <v>83.636363636363626</v>
      </c>
      <c r="D31" s="15">
        <v>450</v>
      </c>
      <c r="E31" s="14">
        <v>52.333869839999998</v>
      </c>
      <c r="F31" s="16">
        <v>2.41829787</v>
      </c>
      <c r="G31" s="14">
        <v>47.666130160000002</v>
      </c>
      <c r="H31" s="16">
        <v>2.41829787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(3068/B33*100)</f>
        <v>83.505715841045173</v>
      </c>
      <c r="D33" s="15">
        <v>606</v>
      </c>
      <c r="E33" s="14">
        <v>45.356039619999997</v>
      </c>
      <c r="F33" s="16">
        <v>2.29457456</v>
      </c>
      <c r="G33" s="14">
        <v>54.643960380000003</v>
      </c>
      <c r="H33" s="16">
        <v>2.29457456</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(2773/B34*100)</f>
        <v>83.650075414781298</v>
      </c>
      <c r="D34" s="15">
        <v>542</v>
      </c>
      <c r="E34" s="14">
        <v>68.390098989999998</v>
      </c>
      <c r="F34" s="16">
        <v>2.0728691600000002</v>
      </c>
      <c r="G34" s="14">
        <v>31.609901010000002</v>
      </c>
      <c r="H34" s="16">
        <v>2.0728691600000002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(2930/B35*100)</f>
        <v>83.594864479315262</v>
      </c>
      <c r="D35" s="15">
        <v>575</v>
      </c>
      <c r="E35" s="14">
        <v>59.275644399999997</v>
      </c>
      <c r="F35" s="16">
        <v>2.5349911199999999</v>
      </c>
      <c r="G35" s="14">
        <v>40.724355600000003</v>
      </c>
      <c r="H35" s="16">
        <v>2.5349911199999999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(2767/B36*100)</f>
        <v>83.043217286914768</v>
      </c>
      <c r="D36" s="15">
        <v>565</v>
      </c>
      <c r="E36" s="14">
        <v>49.030393940000003</v>
      </c>
      <c r="F36" s="16">
        <v>2.1664538499999999</v>
      </c>
      <c r="G36" s="14">
        <v>50.969606059999997</v>
      </c>
      <c r="H36" s="16">
        <v>2.1664538499999999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(2291/B37*100)</f>
        <v>84.011734506784009</v>
      </c>
      <c r="D37" s="15">
        <v>436</v>
      </c>
      <c r="E37" s="14">
        <v>53.391264980000003</v>
      </c>
      <c r="F37" s="16">
        <v>2.1376102499999998</v>
      </c>
      <c r="G37" s="14">
        <v>46.608735019999997</v>
      </c>
      <c r="H37" s="16">
        <v>2.1376102499999998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70.461022349999993</v>
      </c>
      <c r="F39" s="16">
        <v>2.2780622099999999</v>
      </c>
      <c r="G39" s="14">
        <v>29.53897765</v>
      </c>
      <c r="H39" s="16">
        <v>2.2780622099999999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(6010/B40*100)</f>
        <v>83.068417415342083</v>
      </c>
      <c r="D40" s="15">
        <v>1225</v>
      </c>
      <c r="E40" s="14">
        <v>50.008287129999999</v>
      </c>
      <c r="F40" s="16">
        <v>2.0337385600000002</v>
      </c>
      <c r="G40" s="14">
        <v>49.991712870000001</v>
      </c>
      <c r="H40" s="16">
        <v>2.0337385600000002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(2387/B41*100)</f>
        <v>83.519944016794966</v>
      </c>
      <c r="D41" s="15">
        <v>471</v>
      </c>
      <c r="E41" s="14">
        <v>52.837727600000001</v>
      </c>
      <c r="F41" s="16">
        <v>2.4130417899999999</v>
      </c>
      <c r="G41" s="14">
        <v>47.162272399999999</v>
      </c>
      <c r="H41" s="16">
        <v>2.4130417899999999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83.418849594780681</v>
      </c>
      <c r="D42" s="15">
        <f>IF(COUNT(D7:D41) &gt; 0, AVERAGE(D7:D41), "—")</f>
        <v>606.78125</v>
      </c>
      <c r="E42" s="14">
        <f>IF(COUNT(E7:E41) &gt; 0, AVERAGE(E7:E41), "—")</f>
        <v>53.349262158437504</v>
      </c>
      <c r="F42" s="16">
        <f>IF(COUNT(F7:F41) &gt; 0, SQRT(SUMSQ(F7:F41)/(COUNT(F7:F41)*COUNT(F7:F41)) ), "—")</f>
        <v>0.40805527826030225</v>
      </c>
      <c r="G42" s="14">
        <f>IF(COUNT(G7:G41) &gt; 0, AVERAGE(G7:G41), "—")</f>
        <v>46.650737841562496</v>
      </c>
      <c r="H42" s="16">
        <f>IF(COUNT(H7:H41) &gt; 0, SQRT(SUMSQ(H7:H41)/(COUNT(H7:H41)*COUNT(H7:H41)) ), "—")</f>
        <v>0.40805527826030225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(9619/B46*100)</f>
        <v>86.908203830863755</v>
      </c>
      <c r="D46" s="15">
        <v>1449</v>
      </c>
      <c r="E46" s="14">
        <v>70.715472399999996</v>
      </c>
      <c r="F46" s="16">
        <v>1.68577701</v>
      </c>
      <c r="G46" s="14">
        <v>29.284527600000001</v>
      </c>
      <c r="H46" s="16">
        <v>1.68577701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(2613/B47*100)</f>
        <v>84.154589371980677</v>
      </c>
      <c r="D47" s="15">
        <v>492</v>
      </c>
      <c r="E47" s="14">
        <v>60.292915659999998</v>
      </c>
      <c r="F47" s="16">
        <v>2.5692592599999999</v>
      </c>
      <c r="G47" s="14">
        <v>39.707084340000002</v>
      </c>
      <c r="H47" s="16">
        <v>2.5692592599999999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(4290/B48*100)</f>
        <v>83.155650319829419</v>
      </c>
      <c r="D48" s="15">
        <v>869</v>
      </c>
      <c r="E48" s="14">
        <v>54.872247270000003</v>
      </c>
      <c r="F48" s="16">
        <v>2.5953726100000001</v>
      </c>
      <c r="G48" s="14">
        <v>45.127752729999997</v>
      </c>
      <c r="H48" s="16">
        <v>2.5953726100000001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(4699/B50*100)</f>
        <v>83.359943232215713</v>
      </c>
      <c r="D50" s="15">
        <v>938</v>
      </c>
      <c r="E50" s="14">
        <v>62.012608059999998</v>
      </c>
      <c r="F50" s="16">
        <v>2.1853293800000002</v>
      </c>
      <c r="G50" s="14">
        <v>37.987391940000002</v>
      </c>
      <c r="H50" s="16">
        <v>2.1853293800000002</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63.729843610000003</v>
      </c>
      <c r="F51" s="16">
        <v>2.4732562200000001</v>
      </c>
      <c r="G51" s="14">
        <v>36.270156389999997</v>
      </c>
      <c r="H51" s="16">
        <v>2.4732562200000001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(2343/B52*100)</f>
        <v>83.798283261802581</v>
      </c>
      <c r="D52" s="15">
        <v>453</v>
      </c>
      <c r="E52" s="14">
        <v>69.455754020000001</v>
      </c>
      <c r="F52" s="16">
        <v>2.2323681899999999</v>
      </c>
      <c r="G52" s="14">
        <v>30.544245979999999</v>
      </c>
      <c r="H52" s="16">
        <v>2.2323681899999999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(2342/B53*100)</f>
        <v>83.315546069014587</v>
      </c>
      <c r="D53" s="15">
        <v>469</v>
      </c>
      <c r="E53" s="14">
        <v>67.122643319999995</v>
      </c>
      <c r="F53" s="16">
        <v>2.1635025899999998</v>
      </c>
      <c r="G53" s="14">
        <v>32.877356679999998</v>
      </c>
      <c r="H53" s="16">
        <v>2.1635025899999998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(2244/B56*100)</f>
        <v>83.606557377049185</v>
      </c>
      <c r="D56" s="15">
        <v>440</v>
      </c>
      <c r="E56" s="14">
        <v>37.646671550000001</v>
      </c>
      <c r="F56" s="16">
        <v>2.1986367599999999</v>
      </c>
      <c r="G56" s="14">
        <v>62.353328449999999</v>
      </c>
      <c r="H56" s="16">
        <v>2.1986367599999999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(2784/B61*100)</f>
        <v>83.754512635379058</v>
      </c>
      <c r="D61" s="15">
        <v>540</v>
      </c>
      <c r="E61" s="14">
        <v>56.200483179999999</v>
      </c>
      <c r="F61" s="16">
        <v>2.7510815499999999</v>
      </c>
      <c r="G61" s="14">
        <v>43.799516820000001</v>
      </c>
      <c r="H61" s="16">
        <v>2.7510815499999999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(1850/B62*100)</f>
        <v>82.36865538735529</v>
      </c>
      <c r="D62" s="15">
        <v>396</v>
      </c>
      <c r="E62" s="14">
        <v>38.894963799999999</v>
      </c>
      <c r="F62" s="16">
        <v>2.1869194799999998</v>
      </c>
      <c r="G62" s="14">
        <v>61.105036200000001</v>
      </c>
      <c r="H62" s="16">
        <v>2.1869194799999998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(2445/B66*100)</f>
        <v>84.485141672425712</v>
      </c>
      <c r="D66" s="15">
        <v>449</v>
      </c>
      <c r="E66" s="14">
        <v>72.626975939999994</v>
      </c>
      <c r="F66" s="16">
        <v>2.2852035700000002</v>
      </c>
      <c r="G66" s="14">
        <v>27.373024059999999</v>
      </c>
      <c r="H66" s="16">
        <v>2.2852035700000002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(2981/B67*100)</f>
        <v>84.904585588151519</v>
      </c>
      <c r="D67" s="15">
        <v>530</v>
      </c>
      <c r="E67" s="14">
        <v>60.964402</v>
      </c>
      <c r="F67" s="16">
        <v>2.5792855499999998</v>
      </c>
      <c r="G67" s="14">
        <v>39.035598</v>
      </c>
      <c r="H67" s="16">
        <v>2.5792855499999998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(2445/B70*100)</f>
        <v>83.475588938204169</v>
      </c>
      <c r="D70" s="15">
        <v>484</v>
      </c>
      <c r="E70" s="14">
        <v>57.723323899999997</v>
      </c>
      <c r="F70" s="16">
        <v>2.5207325599999999</v>
      </c>
      <c r="G70" s="14">
        <v>42.276676100000003</v>
      </c>
      <c r="H70" s="16">
        <v>2.5207325599999999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(3210/B72*100)</f>
        <v>82.540498842890202</v>
      </c>
      <c r="D72" s="15">
        <v>679</v>
      </c>
      <c r="E72" s="14">
        <v>47.339619839999997</v>
      </c>
      <c r="F72" s="16">
        <v>2.0804615000000002</v>
      </c>
      <c r="G72" s="14">
        <v>52.660380160000003</v>
      </c>
      <c r="H72" s="16">
        <v>2.0804615000000002</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74.188575549999996</v>
      </c>
      <c r="F73" s="16">
        <v>2.1546998199999998</v>
      </c>
      <c r="G73" s="14">
        <v>25.811424450000001</v>
      </c>
      <c r="H73" s="16">
        <v>2.1546998199999998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(2046/B75*100)</f>
        <v>85.037406483790519</v>
      </c>
      <c r="D75" s="15">
        <v>360</v>
      </c>
      <c r="E75" s="14">
        <v>65.28345229</v>
      </c>
      <c r="F75" s="16">
        <v>2.37377372</v>
      </c>
      <c r="G75" s="14">
        <v>34.71654771</v>
      </c>
      <c r="H75" s="16">
        <v>2.37377372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(5868/B76*100)</f>
        <v>83.210436755530353</v>
      </c>
      <c r="D76" s="15">
        <v>1184</v>
      </c>
      <c r="E76" s="14">
        <v>64.025380679999998</v>
      </c>
      <c r="F76" s="16">
        <v>1.72325723</v>
      </c>
      <c r="G76" s="14">
        <v>35.974619320000002</v>
      </c>
      <c r="H76" s="16">
        <v>1.72325723</v>
      </c>
      <c r="I76" s="14" t="s">
        <v>139</v>
      </c>
      <c r="J76" s="16" t="s">
        <v>139</v>
      </c>
      <c r="K76" s="14">
        <v>0</v>
      </c>
      <c r="L76" s="16">
        <v>0</v>
      </c>
      <c r="M76" s="14">
        <v>0</v>
      </c>
      <c r="N76" s="16">
        <v>0</v>
      </c>
      <c r="O76" s="14">
        <v>0</v>
      </c>
      <c r="P76" s="16">
        <v>0</v>
      </c>
      <c r="Q76" s="14">
        <v>0</v>
      </c>
      <c r="R76" s="16">
        <v>0</v>
      </c>
    </row>
    <row r="77" spans="1:18" x14ac:dyDescent="0.25">
      <c r="A77" s="11" t="s">
        <v>210</v>
      </c>
      <c r="B77" s="13">
        <v>2908</v>
      </c>
      <c r="C77" s="14">
        <f>(2466/B77*100)</f>
        <v>84.800550206327372</v>
      </c>
      <c r="D77" s="15">
        <v>442</v>
      </c>
      <c r="E77" s="14">
        <v>61.908214100000002</v>
      </c>
      <c r="F77" s="16">
        <v>2.6849194000000001</v>
      </c>
      <c r="G77" s="14">
        <v>38.091785899999998</v>
      </c>
      <c r="H77" s="16">
        <v>2.6849194000000001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(3457/B81*100)</f>
        <v>83.041076147009363</v>
      </c>
      <c r="D81" s="15">
        <v>706</v>
      </c>
      <c r="E81" s="14">
        <v>67.269571130000003</v>
      </c>
      <c r="F81" s="16">
        <v>2.1160879499999998</v>
      </c>
      <c r="G81" s="14">
        <v>32.730428869999997</v>
      </c>
      <c r="H81" s="16">
        <v>2.1160879499999998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T96"/>
  <sheetViews>
    <sheetView zoomScale="80" workbookViewId="0">
      <pane xSplit="4" topLeftCell="E1" activePane="topRight" state="frozen"/>
      <selection pane="topRight" activeCell="A6" sqref="A6"/>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324</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(6156/B7*100)</f>
        <v>83.561829781457845</v>
      </c>
      <c r="D7" s="15">
        <v>1211</v>
      </c>
      <c r="E7" s="14">
        <v>37.304921550000003</v>
      </c>
      <c r="F7" s="16">
        <v>1.8178046999999999</v>
      </c>
      <c r="G7" s="14">
        <v>55.36990454</v>
      </c>
      <c r="H7" s="16">
        <v>2.0462425299999998</v>
      </c>
      <c r="I7" s="14">
        <v>7.3251739200000001</v>
      </c>
      <c r="J7" s="16">
        <v>0.94541646999999995</v>
      </c>
      <c r="K7" s="14" t="s">
        <v>139</v>
      </c>
      <c r="L7" s="16" t="s">
        <v>139</v>
      </c>
      <c r="M7" s="14">
        <v>0</v>
      </c>
      <c r="N7" s="16">
        <v>0</v>
      </c>
      <c r="O7" s="14">
        <v>0</v>
      </c>
      <c r="P7" s="16">
        <v>0</v>
      </c>
      <c r="Q7" s="14">
        <v>0</v>
      </c>
      <c r="R7" s="16">
        <v>0</v>
      </c>
      <c r="S7" s="14">
        <v>0</v>
      </c>
      <c r="T7" s="16">
        <v>0</v>
      </c>
    </row>
    <row r="8" spans="1:20" x14ac:dyDescent="0.25">
      <c r="A8" s="11" t="s">
        <v>140</v>
      </c>
      <c r="B8" s="13">
        <v>3564</v>
      </c>
      <c r="C8" s="14">
        <f>(2953/B8*100)</f>
        <v>82.856341189674524</v>
      </c>
      <c r="D8" s="15">
        <v>611</v>
      </c>
      <c r="E8" s="14">
        <v>35.519652290000003</v>
      </c>
      <c r="F8" s="16">
        <v>2.1699623699999999</v>
      </c>
      <c r="G8" s="14">
        <v>56.725125849999998</v>
      </c>
      <c r="H8" s="16">
        <v>2.1723651799999999</v>
      </c>
      <c r="I8" s="14">
        <v>7.7552218599999998</v>
      </c>
      <c r="J8" s="16">
        <v>1.2447879399999999</v>
      </c>
      <c r="K8" s="14" t="s">
        <v>139</v>
      </c>
      <c r="L8" s="16" t="s">
        <v>139</v>
      </c>
      <c r="M8" s="14">
        <v>0</v>
      </c>
      <c r="N8" s="16">
        <v>0</v>
      </c>
      <c r="O8" s="14">
        <v>0</v>
      </c>
      <c r="P8" s="16">
        <v>0</v>
      </c>
      <c r="Q8" s="14">
        <v>0</v>
      </c>
      <c r="R8" s="16">
        <v>0</v>
      </c>
      <c r="S8" s="14">
        <v>0</v>
      </c>
      <c r="T8" s="16">
        <v>0</v>
      </c>
    </row>
    <row r="9" spans="1:20" x14ac:dyDescent="0.25">
      <c r="A9" s="11" t="s">
        <v>141</v>
      </c>
      <c r="B9" s="13">
        <v>4899</v>
      </c>
      <c r="C9" s="14">
        <f>(4101/B9*100)</f>
        <v>83.710961420698098</v>
      </c>
      <c r="D9" s="15">
        <v>798</v>
      </c>
      <c r="E9" s="14">
        <v>42.978754420000001</v>
      </c>
      <c r="F9" s="16">
        <v>1.6622064000000001</v>
      </c>
      <c r="G9" s="14">
        <v>48.17882891</v>
      </c>
      <c r="H9" s="16">
        <v>1.70300129</v>
      </c>
      <c r="I9" s="14">
        <v>8.8424166700000004</v>
      </c>
      <c r="J9" s="16">
        <v>1.08778759</v>
      </c>
      <c r="K9" s="14" t="s">
        <v>139</v>
      </c>
      <c r="L9" s="16" t="s">
        <v>139</v>
      </c>
      <c r="M9" s="14">
        <v>0</v>
      </c>
      <c r="N9" s="16">
        <v>0</v>
      </c>
      <c r="O9" s="14">
        <v>0</v>
      </c>
      <c r="P9" s="16">
        <v>0</v>
      </c>
      <c r="Q9" s="14">
        <v>0</v>
      </c>
      <c r="R9" s="16">
        <v>0</v>
      </c>
      <c r="S9" s="14">
        <v>0</v>
      </c>
      <c r="T9" s="16">
        <v>0</v>
      </c>
    </row>
    <row r="10" spans="1:20" x14ac:dyDescent="0.25">
      <c r="A10" s="11" t="s">
        <v>142</v>
      </c>
      <c r="B10" s="13">
        <v>10036</v>
      </c>
      <c r="C10" s="14">
        <f>(8359/B10*100)</f>
        <v>83.290155440414509</v>
      </c>
      <c r="D10" s="15">
        <v>1677</v>
      </c>
      <c r="E10" s="14">
        <v>44.029195039999998</v>
      </c>
      <c r="F10" s="16">
        <v>1.8284894899999999</v>
      </c>
      <c r="G10" s="14">
        <v>47.616266099999997</v>
      </c>
      <c r="H10" s="16">
        <v>1.78408996</v>
      </c>
      <c r="I10" s="14">
        <v>8.3545388599999999</v>
      </c>
      <c r="J10" s="16">
        <v>0.88181887999999997</v>
      </c>
      <c r="K10" s="14" t="s">
        <v>139</v>
      </c>
      <c r="L10" s="16" t="s">
        <v>139</v>
      </c>
      <c r="M10" s="14">
        <v>0</v>
      </c>
      <c r="N10" s="16">
        <v>0</v>
      </c>
      <c r="O10" s="14">
        <v>0</v>
      </c>
      <c r="P10" s="16">
        <v>0</v>
      </c>
      <c r="Q10" s="14">
        <v>0</v>
      </c>
      <c r="R10" s="16">
        <v>0</v>
      </c>
      <c r="S10" s="14">
        <v>0</v>
      </c>
      <c r="T10" s="16">
        <v>0</v>
      </c>
    </row>
    <row r="11" spans="1:20" x14ac:dyDescent="0.25">
      <c r="A11" s="11" t="s">
        <v>143</v>
      </c>
      <c r="B11" s="13">
        <v>3553</v>
      </c>
      <c r="C11" s="14">
        <f>(2964/B11*100)</f>
        <v>83.422459893048128</v>
      </c>
      <c r="D11" s="15">
        <v>589</v>
      </c>
      <c r="E11" s="14">
        <v>50.772069430000002</v>
      </c>
      <c r="F11" s="16">
        <v>2.6801330299999999</v>
      </c>
      <c r="G11" s="14">
        <v>38.576883770000002</v>
      </c>
      <c r="H11" s="16">
        <v>2.61078287</v>
      </c>
      <c r="I11" s="14">
        <v>10.651046790000001</v>
      </c>
      <c r="J11" s="16">
        <v>1.44515232</v>
      </c>
      <c r="K11" s="14" t="s">
        <v>139</v>
      </c>
      <c r="L11" s="16" t="s">
        <v>139</v>
      </c>
      <c r="M11" s="14">
        <v>0</v>
      </c>
      <c r="N11" s="16">
        <v>0</v>
      </c>
      <c r="O11" s="14">
        <v>0</v>
      </c>
      <c r="P11" s="16">
        <v>0</v>
      </c>
      <c r="Q11" s="14">
        <v>0</v>
      </c>
      <c r="R11" s="16">
        <v>0</v>
      </c>
      <c r="S11" s="14">
        <v>0</v>
      </c>
      <c r="T11" s="16">
        <v>0</v>
      </c>
    </row>
    <row r="12" spans="1:20" x14ac:dyDescent="0.25">
      <c r="A12" s="11" t="s">
        <v>144</v>
      </c>
      <c r="B12" s="13">
        <v>3472</v>
      </c>
      <c r="C12" s="14">
        <f>(2865/B12*100)</f>
        <v>82.517281105990776</v>
      </c>
      <c r="D12" s="15">
        <v>607</v>
      </c>
      <c r="E12" s="14">
        <v>36.353010589999997</v>
      </c>
      <c r="F12" s="16">
        <v>2.04236912</v>
      </c>
      <c r="G12" s="14">
        <v>54.235741099999998</v>
      </c>
      <c r="H12" s="16">
        <v>2.0063616400000002</v>
      </c>
      <c r="I12" s="14">
        <v>9.4112483099999995</v>
      </c>
      <c r="J12" s="16">
        <v>1.2618474099999999</v>
      </c>
      <c r="K12" s="14" t="s">
        <v>139</v>
      </c>
      <c r="L12" s="16" t="s">
        <v>139</v>
      </c>
      <c r="M12" s="14">
        <v>0</v>
      </c>
      <c r="N12" s="16">
        <v>0</v>
      </c>
      <c r="O12" s="14">
        <v>0</v>
      </c>
      <c r="P12" s="16">
        <v>0</v>
      </c>
      <c r="Q12" s="14">
        <v>0</v>
      </c>
      <c r="R12" s="16">
        <v>0</v>
      </c>
      <c r="S12" s="14">
        <v>0</v>
      </c>
      <c r="T12" s="16">
        <v>0</v>
      </c>
    </row>
    <row r="13" spans="1:20" x14ac:dyDescent="0.25">
      <c r="A13" s="11" t="s">
        <v>145</v>
      </c>
      <c r="B13" s="13">
        <v>3559</v>
      </c>
      <c r="C13" s="14">
        <f>(3005/B13*100)</f>
        <v>84.433829727451524</v>
      </c>
      <c r="D13" s="15">
        <v>554</v>
      </c>
      <c r="E13" s="14">
        <v>35.208242509999998</v>
      </c>
      <c r="F13" s="16">
        <v>2.4578807500000002</v>
      </c>
      <c r="G13" s="14">
        <v>57.70618443</v>
      </c>
      <c r="H13" s="16">
        <v>2.52863522</v>
      </c>
      <c r="I13" s="14">
        <v>7.0855730599999998</v>
      </c>
      <c r="J13" s="16">
        <v>1.36154453</v>
      </c>
      <c r="K13" s="14" t="s">
        <v>139</v>
      </c>
      <c r="L13" s="16" t="s">
        <v>139</v>
      </c>
      <c r="M13" s="14">
        <v>0</v>
      </c>
      <c r="N13" s="16">
        <v>0</v>
      </c>
      <c r="O13" s="14">
        <v>0</v>
      </c>
      <c r="P13" s="16">
        <v>0</v>
      </c>
      <c r="Q13" s="14">
        <v>0</v>
      </c>
      <c r="R13" s="16">
        <v>0</v>
      </c>
      <c r="S13" s="14">
        <v>0</v>
      </c>
      <c r="T13" s="16">
        <v>0</v>
      </c>
    </row>
    <row r="14" spans="1:20" x14ac:dyDescent="0.25">
      <c r="A14" s="11" t="s">
        <v>146</v>
      </c>
      <c r="B14" s="13">
        <v>2799</v>
      </c>
      <c r="C14" s="14">
        <f>(2321/B14*100)</f>
        <v>82.922472311539835</v>
      </c>
      <c r="D14" s="15">
        <v>478</v>
      </c>
      <c r="E14" s="14">
        <v>40.159515149999997</v>
      </c>
      <c r="F14" s="16">
        <v>2.36390871</v>
      </c>
      <c r="G14" s="14">
        <v>52.422403039999999</v>
      </c>
      <c r="H14" s="16">
        <v>2.4356135000000001</v>
      </c>
      <c r="I14" s="14">
        <v>7.4180818100000003</v>
      </c>
      <c r="J14" s="16">
        <v>1.2586694599999999</v>
      </c>
      <c r="K14" s="14" t="s">
        <v>139</v>
      </c>
      <c r="L14" s="16" t="s">
        <v>139</v>
      </c>
      <c r="M14" s="14">
        <v>0</v>
      </c>
      <c r="N14" s="16">
        <v>0</v>
      </c>
      <c r="O14" s="14">
        <v>0</v>
      </c>
      <c r="P14" s="16">
        <v>0</v>
      </c>
      <c r="Q14" s="14">
        <v>0</v>
      </c>
      <c r="R14" s="16">
        <v>0</v>
      </c>
      <c r="S14" s="14">
        <v>0</v>
      </c>
      <c r="T14" s="16">
        <v>0</v>
      </c>
    </row>
    <row r="15" spans="1:20" x14ac:dyDescent="0.25">
      <c r="A15" s="11" t="s">
        <v>147</v>
      </c>
      <c r="B15" s="13">
        <v>3019</v>
      </c>
      <c r="C15" s="14">
        <f>(2509/B15*100)</f>
        <v>83.10698906922822</v>
      </c>
      <c r="D15" s="15">
        <v>510</v>
      </c>
      <c r="E15" s="14">
        <v>43.607214900000002</v>
      </c>
      <c r="F15" s="16">
        <v>2.3258705900000001</v>
      </c>
      <c r="G15" s="14">
        <v>46.600809339999998</v>
      </c>
      <c r="H15" s="16">
        <v>2.5030423599999998</v>
      </c>
      <c r="I15" s="14">
        <v>9.7919757700000005</v>
      </c>
      <c r="J15" s="16">
        <v>1.2089721499999999</v>
      </c>
      <c r="K15" s="14" t="s">
        <v>139</v>
      </c>
      <c r="L15" s="16" t="s">
        <v>139</v>
      </c>
      <c r="M15" s="14">
        <v>0</v>
      </c>
      <c r="N15" s="16">
        <v>0</v>
      </c>
      <c r="O15" s="14">
        <v>0</v>
      </c>
      <c r="P15" s="16">
        <v>0</v>
      </c>
      <c r="Q15" s="14">
        <v>0</v>
      </c>
      <c r="R15" s="16">
        <v>0</v>
      </c>
      <c r="S15" s="14">
        <v>0</v>
      </c>
      <c r="T15" s="16">
        <v>0</v>
      </c>
    </row>
    <row r="16" spans="1:20" x14ac:dyDescent="0.25">
      <c r="A16" s="11" t="s">
        <v>148</v>
      </c>
      <c r="B16" s="13">
        <v>2997</v>
      </c>
      <c r="C16" s="14">
        <f>(2517/B16*100)</f>
        <v>83.983983983983975</v>
      </c>
      <c r="D16" s="15">
        <v>480</v>
      </c>
      <c r="E16" s="14">
        <v>50.790678149999998</v>
      </c>
      <c r="F16" s="16">
        <v>2.4523045300000001</v>
      </c>
      <c r="G16" s="14">
        <v>41.618694410000003</v>
      </c>
      <c r="H16" s="16">
        <v>2.3163046500000002</v>
      </c>
      <c r="I16" s="14">
        <v>7.5906274399999996</v>
      </c>
      <c r="J16" s="16">
        <v>1.09032876</v>
      </c>
      <c r="K16" s="14" t="s">
        <v>139</v>
      </c>
      <c r="L16" s="16" t="s">
        <v>139</v>
      </c>
      <c r="M16" s="14">
        <v>0</v>
      </c>
      <c r="N16" s="16">
        <v>0</v>
      </c>
      <c r="O16" s="14">
        <v>0</v>
      </c>
      <c r="P16" s="16">
        <v>0</v>
      </c>
      <c r="Q16" s="14">
        <v>0</v>
      </c>
      <c r="R16" s="16">
        <v>0</v>
      </c>
      <c r="S16" s="14">
        <v>0</v>
      </c>
      <c r="T16" s="16">
        <v>0</v>
      </c>
    </row>
    <row r="17" spans="1:20" x14ac:dyDescent="0.25">
      <c r="A17" s="11" t="s">
        <v>149</v>
      </c>
      <c r="B17" s="13">
        <v>3307</v>
      </c>
      <c r="C17" s="14">
        <f>(2793/B17*100)</f>
        <v>84.457211974599332</v>
      </c>
      <c r="D17" s="15">
        <v>514</v>
      </c>
      <c r="E17" s="14">
        <v>37.899868560000002</v>
      </c>
      <c r="F17" s="16">
        <v>2.1490184999999999</v>
      </c>
      <c r="G17" s="14">
        <v>54.890489889999998</v>
      </c>
      <c r="H17" s="16">
        <v>2.2642040899999998</v>
      </c>
      <c r="I17" s="14">
        <v>7.2096415499999997</v>
      </c>
      <c r="J17" s="16">
        <v>1.2850271</v>
      </c>
      <c r="K17" s="14" t="s">
        <v>139</v>
      </c>
      <c r="L17" s="16" t="s">
        <v>139</v>
      </c>
      <c r="M17" s="14">
        <v>0</v>
      </c>
      <c r="N17" s="16">
        <v>0</v>
      </c>
      <c r="O17" s="14">
        <v>0</v>
      </c>
      <c r="P17" s="16">
        <v>0</v>
      </c>
      <c r="Q17" s="14">
        <v>0</v>
      </c>
      <c r="R17" s="16">
        <v>0</v>
      </c>
      <c r="S17" s="14">
        <v>0</v>
      </c>
      <c r="T17" s="16">
        <v>0</v>
      </c>
    </row>
    <row r="18" spans="1:20" x14ac:dyDescent="0.25">
      <c r="A18" s="11" t="s">
        <v>150</v>
      </c>
      <c r="B18" s="13">
        <v>2826</v>
      </c>
      <c r="C18" s="14">
        <f>(2348/B18*100)</f>
        <v>83.08563340410474</v>
      </c>
      <c r="D18" s="15">
        <v>478</v>
      </c>
      <c r="E18" s="14">
        <v>51.344744710000001</v>
      </c>
      <c r="F18" s="16">
        <v>2.5447750899999999</v>
      </c>
      <c r="G18" s="14">
        <v>35.431622330000003</v>
      </c>
      <c r="H18" s="16">
        <v>2.3166822300000001</v>
      </c>
      <c r="I18" s="14">
        <v>13.22363296</v>
      </c>
      <c r="J18" s="16">
        <v>1.51351846</v>
      </c>
      <c r="K18" s="14" t="s">
        <v>139</v>
      </c>
      <c r="L18" s="16" t="s">
        <v>139</v>
      </c>
      <c r="M18" s="14">
        <v>0</v>
      </c>
      <c r="N18" s="16">
        <v>0</v>
      </c>
      <c r="O18" s="14">
        <v>0</v>
      </c>
      <c r="P18" s="16">
        <v>0</v>
      </c>
      <c r="Q18" s="14">
        <v>0</v>
      </c>
      <c r="R18" s="16">
        <v>0</v>
      </c>
      <c r="S18" s="14">
        <v>0</v>
      </c>
      <c r="T18" s="16">
        <v>0</v>
      </c>
    </row>
    <row r="19" spans="1:20" x14ac:dyDescent="0.25">
      <c r="A19" s="11" t="s">
        <v>151</v>
      </c>
      <c r="B19" s="13">
        <v>2808</v>
      </c>
      <c r="C19" s="14">
        <f>(2341/B19*100)</f>
        <v>83.368945868945872</v>
      </c>
      <c r="D19" s="15">
        <v>467</v>
      </c>
      <c r="E19" s="14">
        <v>45.773873770000002</v>
      </c>
      <c r="F19" s="16">
        <v>2.6436631899999998</v>
      </c>
      <c r="G19" s="14">
        <v>47.138637459999998</v>
      </c>
      <c r="H19" s="16">
        <v>2.70257798</v>
      </c>
      <c r="I19" s="14">
        <v>7.0874887800000002</v>
      </c>
      <c r="J19" s="16">
        <v>1.07098621</v>
      </c>
      <c r="K19" s="14" t="s">
        <v>139</v>
      </c>
      <c r="L19" s="16" t="s">
        <v>139</v>
      </c>
      <c r="M19" s="14">
        <v>0</v>
      </c>
      <c r="N19" s="16">
        <v>0</v>
      </c>
      <c r="O19" s="14">
        <v>0</v>
      </c>
      <c r="P19" s="16">
        <v>0</v>
      </c>
      <c r="Q19" s="14">
        <v>0</v>
      </c>
      <c r="R19" s="16">
        <v>0</v>
      </c>
      <c r="S19" s="14">
        <v>0</v>
      </c>
      <c r="T19" s="16">
        <v>0</v>
      </c>
    </row>
    <row r="20" spans="1:20" x14ac:dyDescent="0.25">
      <c r="A20" s="11" t="s">
        <v>152</v>
      </c>
      <c r="B20" s="13">
        <v>1630</v>
      </c>
      <c r="C20" s="14">
        <f>(1364/B20*100)</f>
        <v>83.680981595092035</v>
      </c>
      <c r="D20" s="15">
        <v>266</v>
      </c>
      <c r="E20" s="14">
        <v>44.911564579999997</v>
      </c>
      <c r="F20" s="16">
        <v>3.2004269399999998</v>
      </c>
      <c r="G20" s="14">
        <v>44.746369659999999</v>
      </c>
      <c r="H20" s="16">
        <v>2.9761794500000001</v>
      </c>
      <c r="I20" s="14">
        <v>10.342065760000001</v>
      </c>
      <c r="J20" s="16">
        <v>1.96000785</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(2446/B22*100)</f>
        <v>83.452746502900027</v>
      </c>
      <c r="D22" s="15">
        <v>485</v>
      </c>
      <c r="E22" s="14">
        <v>57.230395649999998</v>
      </c>
      <c r="F22" s="16">
        <v>2.01514712</v>
      </c>
      <c r="G22" s="14">
        <v>35.9313699</v>
      </c>
      <c r="H22" s="16">
        <v>1.8166127000000001</v>
      </c>
      <c r="I22" s="14">
        <v>6.8382344499999999</v>
      </c>
      <c r="J22" s="16">
        <v>0.96049430999999996</v>
      </c>
      <c r="K22" s="14" t="s">
        <v>139</v>
      </c>
      <c r="L22" s="16" t="s">
        <v>139</v>
      </c>
      <c r="M22" s="14">
        <v>0</v>
      </c>
      <c r="N22" s="16">
        <v>0</v>
      </c>
      <c r="O22" s="14">
        <v>0</v>
      </c>
      <c r="P22" s="16">
        <v>0</v>
      </c>
      <c r="Q22" s="14">
        <v>0</v>
      </c>
      <c r="R22" s="16">
        <v>0</v>
      </c>
      <c r="S22" s="14">
        <v>0</v>
      </c>
      <c r="T22" s="16">
        <v>0</v>
      </c>
    </row>
    <row r="23" spans="1:20" x14ac:dyDescent="0.25">
      <c r="A23" s="11" t="s">
        <v>156</v>
      </c>
      <c r="B23" s="13">
        <v>5791</v>
      </c>
      <c r="C23" s="14">
        <f>(4797/B23*100)</f>
        <v>82.835434294595061</v>
      </c>
      <c r="D23" s="15">
        <v>994</v>
      </c>
      <c r="E23" s="14">
        <v>42.325724860000001</v>
      </c>
      <c r="F23" s="16">
        <v>1.9746406999999999</v>
      </c>
      <c r="G23" s="14">
        <v>46.72234916</v>
      </c>
      <c r="H23" s="16">
        <v>2.2233702800000001</v>
      </c>
      <c r="I23" s="14">
        <v>10.95192598</v>
      </c>
      <c r="J23" s="16">
        <v>1.3369184000000001</v>
      </c>
      <c r="K23" s="14" t="s">
        <v>139</v>
      </c>
      <c r="L23" s="16" t="s">
        <v>139</v>
      </c>
      <c r="M23" s="14">
        <v>0</v>
      </c>
      <c r="N23" s="16">
        <v>0</v>
      </c>
      <c r="O23" s="14">
        <v>0</v>
      </c>
      <c r="P23" s="16">
        <v>0</v>
      </c>
      <c r="Q23" s="14">
        <v>0</v>
      </c>
      <c r="R23" s="16">
        <v>0</v>
      </c>
      <c r="S23" s="14">
        <v>0</v>
      </c>
      <c r="T23" s="16">
        <v>0</v>
      </c>
    </row>
    <row r="24" spans="1:20" x14ac:dyDescent="0.25">
      <c r="A24" s="11" t="s">
        <v>157</v>
      </c>
      <c r="B24" s="13">
        <v>3338</v>
      </c>
      <c r="C24" s="14">
        <f>(2777/B24*100)</f>
        <v>83.193529059316944</v>
      </c>
      <c r="D24" s="15">
        <v>561</v>
      </c>
      <c r="E24" s="14">
        <v>23.403105979999999</v>
      </c>
      <c r="F24" s="16">
        <v>1.77128833</v>
      </c>
      <c r="G24" s="14">
        <v>68.052701089999999</v>
      </c>
      <c r="H24" s="16">
        <v>2.0085676700000001</v>
      </c>
      <c r="I24" s="14">
        <v>8.5441929299999995</v>
      </c>
      <c r="J24" s="16">
        <v>1.3497621200000001</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42.614909789999999</v>
      </c>
      <c r="F25" s="16">
        <v>2.5753282999999998</v>
      </c>
      <c r="G25" s="14">
        <v>47.039327700000001</v>
      </c>
      <c r="H25" s="16">
        <v>2.3009411100000001</v>
      </c>
      <c r="I25" s="14">
        <v>10.34576251</v>
      </c>
      <c r="J25" s="16">
        <v>1.3181711899999999</v>
      </c>
      <c r="K25" s="14" t="s">
        <v>139</v>
      </c>
      <c r="L25" s="16" t="s">
        <v>139</v>
      </c>
      <c r="M25" s="14">
        <v>0</v>
      </c>
      <c r="N25" s="16">
        <v>0</v>
      </c>
      <c r="O25" s="14">
        <v>0</v>
      </c>
      <c r="P25" s="16">
        <v>0</v>
      </c>
      <c r="Q25" s="14">
        <v>0</v>
      </c>
      <c r="R25" s="16">
        <v>0</v>
      </c>
      <c r="S25" s="14">
        <v>0</v>
      </c>
      <c r="T25" s="16">
        <v>0</v>
      </c>
    </row>
    <row r="26" spans="1:20" x14ac:dyDescent="0.25">
      <c r="A26" s="11" t="s">
        <v>159</v>
      </c>
      <c r="B26" s="13">
        <v>2450</v>
      </c>
      <c r="C26" s="14">
        <f>(2044/B26*100)</f>
        <v>83.428571428571431</v>
      </c>
      <c r="D26" s="15">
        <v>406</v>
      </c>
      <c r="E26" s="14">
        <v>44.294860790000001</v>
      </c>
      <c r="F26" s="16">
        <v>2.5174919199999999</v>
      </c>
      <c r="G26" s="14">
        <v>45.722113350000001</v>
      </c>
      <c r="H26" s="16">
        <v>2.2444047399999998</v>
      </c>
      <c r="I26" s="14">
        <v>9.9830258599999997</v>
      </c>
      <c r="J26" s="16">
        <v>1.53326523</v>
      </c>
      <c r="K26" s="14" t="s">
        <v>139</v>
      </c>
      <c r="L26" s="16" t="s">
        <v>139</v>
      </c>
      <c r="M26" s="14">
        <v>0</v>
      </c>
      <c r="N26" s="16">
        <v>0</v>
      </c>
      <c r="O26" s="14">
        <v>0</v>
      </c>
      <c r="P26" s="16">
        <v>0</v>
      </c>
      <c r="Q26" s="14">
        <v>0</v>
      </c>
      <c r="R26" s="16">
        <v>0</v>
      </c>
      <c r="S26" s="14">
        <v>0</v>
      </c>
      <c r="T26" s="16">
        <v>0</v>
      </c>
    </row>
    <row r="27" spans="1:20" x14ac:dyDescent="0.25">
      <c r="A27" s="11" t="s">
        <v>160</v>
      </c>
      <c r="B27" s="13">
        <v>2616</v>
      </c>
      <c r="C27" s="14">
        <f>(2189/B27*100)</f>
        <v>83.677370030581045</v>
      </c>
      <c r="D27" s="15">
        <v>427</v>
      </c>
      <c r="E27" s="14">
        <v>42.539331990000001</v>
      </c>
      <c r="F27" s="16">
        <v>2.6647911799999999</v>
      </c>
      <c r="G27" s="14">
        <v>49.266174919999997</v>
      </c>
      <c r="H27" s="16">
        <v>2.6808801299999998</v>
      </c>
      <c r="I27" s="14">
        <v>8.1944930899999999</v>
      </c>
      <c r="J27" s="16">
        <v>1.4152161000000001</v>
      </c>
      <c r="K27" s="14" t="s">
        <v>139</v>
      </c>
      <c r="L27" s="16" t="s">
        <v>139</v>
      </c>
      <c r="M27" s="14">
        <v>0</v>
      </c>
      <c r="N27" s="16">
        <v>0</v>
      </c>
      <c r="O27" s="14">
        <v>0</v>
      </c>
      <c r="P27" s="16">
        <v>0</v>
      </c>
      <c r="Q27" s="14">
        <v>0</v>
      </c>
      <c r="R27" s="16">
        <v>0</v>
      </c>
      <c r="S27" s="14">
        <v>0</v>
      </c>
      <c r="T27" s="16">
        <v>0</v>
      </c>
    </row>
    <row r="28" spans="1:20" x14ac:dyDescent="0.25">
      <c r="A28" s="11" t="s">
        <v>161</v>
      </c>
      <c r="B28" s="13">
        <v>3765</v>
      </c>
      <c r="C28" s="14">
        <f>(3164/B28*100)</f>
        <v>84.037184594953516</v>
      </c>
      <c r="D28" s="15">
        <v>601</v>
      </c>
      <c r="E28" s="14">
        <v>56.56674289</v>
      </c>
      <c r="F28" s="16">
        <v>1.9034453899999999</v>
      </c>
      <c r="G28" s="14">
        <v>32.98296011</v>
      </c>
      <c r="H28" s="16">
        <v>1.8922593400000001</v>
      </c>
      <c r="I28" s="14">
        <v>10.45029699</v>
      </c>
      <c r="J28" s="16">
        <v>1.4559051700000001</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36.816202160000003</v>
      </c>
      <c r="F29" s="16">
        <v>2.3135900500000002</v>
      </c>
      <c r="G29" s="14">
        <v>53.93174922</v>
      </c>
      <c r="H29" s="16">
        <v>2.3329512800000001</v>
      </c>
      <c r="I29" s="14">
        <v>9.2520486200000001</v>
      </c>
      <c r="J29" s="16">
        <v>1.59734741</v>
      </c>
      <c r="K29" s="14" t="s">
        <v>139</v>
      </c>
      <c r="L29" s="16" t="s">
        <v>139</v>
      </c>
      <c r="M29" s="14">
        <v>0</v>
      </c>
      <c r="N29" s="16">
        <v>0</v>
      </c>
      <c r="O29" s="14">
        <v>0</v>
      </c>
      <c r="P29" s="16">
        <v>0</v>
      </c>
      <c r="Q29" s="14">
        <v>0</v>
      </c>
      <c r="R29" s="16">
        <v>0</v>
      </c>
      <c r="S29" s="14">
        <v>0</v>
      </c>
      <c r="T29" s="16">
        <v>0</v>
      </c>
    </row>
    <row r="30" spans="1:20" x14ac:dyDescent="0.25">
      <c r="A30" s="11" t="s">
        <v>163</v>
      </c>
      <c r="B30" s="13">
        <v>2263</v>
      </c>
      <c r="C30" s="14">
        <f>(1891/B30*100)</f>
        <v>83.561643835616437</v>
      </c>
      <c r="D30" s="15">
        <v>372</v>
      </c>
      <c r="E30" s="14">
        <v>33.401758940000001</v>
      </c>
      <c r="F30" s="16">
        <v>2.7146276199999999</v>
      </c>
      <c r="G30" s="14">
        <v>57.996926389999999</v>
      </c>
      <c r="H30" s="16">
        <v>2.58784131</v>
      </c>
      <c r="I30" s="14">
        <v>8.6013146700000007</v>
      </c>
      <c r="J30" s="16">
        <v>1.50034267</v>
      </c>
      <c r="K30" s="14" t="s">
        <v>139</v>
      </c>
      <c r="L30" s="16" t="s">
        <v>139</v>
      </c>
      <c r="M30" s="14">
        <v>0</v>
      </c>
      <c r="N30" s="16">
        <v>0</v>
      </c>
      <c r="O30" s="14">
        <v>0</v>
      </c>
      <c r="P30" s="16">
        <v>0</v>
      </c>
      <c r="Q30" s="14">
        <v>0</v>
      </c>
      <c r="R30" s="16">
        <v>0</v>
      </c>
      <c r="S30" s="14">
        <v>0</v>
      </c>
      <c r="T30" s="16">
        <v>0</v>
      </c>
    </row>
    <row r="31" spans="1:20" x14ac:dyDescent="0.25">
      <c r="A31" s="11" t="s">
        <v>164</v>
      </c>
      <c r="B31" s="13">
        <v>2750</v>
      </c>
      <c r="C31" s="14">
        <f>(2300/B31*100)</f>
        <v>83.636363636363626</v>
      </c>
      <c r="D31" s="15">
        <v>450</v>
      </c>
      <c r="E31" s="14">
        <v>45.082175620000001</v>
      </c>
      <c r="F31" s="16">
        <v>2.3416475999999999</v>
      </c>
      <c r="G31" s="14">
        <v>45.683322769999997</v>
      </c>
      <c r="H31" s="16">
        <v>2.14480563</v>
      </c>
      <c r="I31" s="14">
        <v>9.2345016100000006</v>
      </c>
      <c r="J31" s="16">
        <v>1.3919615400000001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(3068/B33*100)</f>
        <v>83.505715841045173</v>
      </c>
      <c r="D33" s="15">
        <v>606</v>
      </c>
      <c r="E33" s="14">
        <v>37.722929919999999</v>
      </c>
      <c r="F33" s="16">
        <v>2.5666696999999998</v>
      </c>
      <c r="G33" s="14">
        <v>51.611394650000001</v>
      </c>
      <c r="H33" s="16">
        <v>2.67468737</v>
      </c>
      <c r="I33" s="14">
        <v>10.66567543</v>
      </c>
      <c r="J33" s="16">
        <v>1.6425086499999999</v>
      </c>
      <c r="K33" s="14" t="s">
        <v>139</v>
      </c>
      <c r="L33" s="16" t="s">
        <v>139</v>
      </c>
      <c r="M33" s="14">
        <v>0</v>
      </c>
      <c r="N33" s="16">
        <v>0</v>
      </c>
      <c r="O33" s="14">
        <v>0</v>
      </c>
      <c r="P33" s="16">
        <v>0</v>
      </c>
      <c r="Q33" s="14">
        <v>0</v>
      </c>
      <c r="R33" s="16">
        <v>0</v>
      </c>
      <c r="S33" s="14">
        <v>0</v>
      </c>
      <c r="T33" s="16">
        <v>0</v>
      </c>
    </row>
    <row r="34" spans="1:20" x14ac:dyDescent="0.25">
      <c r="A34" s="11" t="s">
        <v>167</v>
      </c>
      <c r="B34" s="13">
        <v>3315</v>
      </c>
      <c r="C34" s="14">
        <f>(2773/B34*100)</f>
        <v>83.650075414781298</v>
      </c>
      <c r="D34" s="15">
        <v>542</v>
      </c>
      <c r="E34" s="14">
        <v>47.852242029999999</v>
      </c>
      <c r="F34" s="16">
        <v>1.9874433300000001</v>
      </c>
      <c r="G34" s="14">
        <v>42.891868189999997</v>
      </c>
      <c r="H34" s="16">
        <v>2.0707625699999999</v>
      </c>
      <c r="I34" s="14">
        <v>9.2558897800000004</v>
      </c>
      <c r="J34" s="16">
        <v>1.36788935</v>
      </c>
      <c r="K34" s="14" t="s">
        <v>139</v>
      </c>
      <c r="L34" s="16" t="s">
        <v>139</v>
      </c>
      <c r="M34" s="14">
        <v>0</v>
      </c>
      <c r="N34" s="16">
        <v>0</v>
      </c>
      <c r="O34" s="14">
        <v>0</v>
      </c>
      <c r="P34" s="16">
        <v>0</v>
      </c>
      <c r="Q34" s="14">
        <v>0</v>
      </c>
      <c r="R34" s="16">
        <v>0</v>
      </c>
      <c r="S34" s="14">
        <v>0</v>
      </c>
      <c r="T34" s="16">
        <v>0</v>
      </c>
    </row>
    <row r="35" spans="1:20" x14ac:dyDescent="0.25">
      <c r="A35" s="11" t="s">
        <v>168</v>
      </c>
      <c r="B35" s="13">
        <v>3505</v>
      </c>
      <c r="C35" s="14">
        <f>(2930/B35*100)</f>
        <v>83.594864479315262</v>
      </c>
      <c r="D35" s="15">
        <v>575</v>
      </c>
      <c r="E35" s="14">
        <v>40.848140489999999</v>
      </c>
      <c r="F35" s="16">
        <v>2.5160528599999998</v>
      </c>
      <c r="G35" s="14">
        <v>52.392487879999997</v>
      </c>
      <c r="H35" s="16">
        <v>2.6698176299999998</v>
      </c>
      <c r="I35" s="14">
        <v>6.7593716300000004</v>
      </c>
      <c r="J35" s="16">
        <v>1.36196534</v>
      </c>
      <c r="K35" s="14" t="s">
        <v>139</v>
      </c>
      <c r="L35" s="16" t="s">
        <v>139</v>
      </c>
      <c r="M35" s="14">
        <v>0</v>
      </c>
      <c r="N35" s="16">
        <v>0</v>
      </c>
      <c r="O35" s="14">
        <v>0</v>
      </c>
      <c r="P35" s="16">
        <v>0</v>
      </c>
      <c r="Q35" s="14">
        <v>0</v>
      </c>
      <c r="R35" s="16">
        <v>0</v>
      </c>
      <c r="S35" s="14">
        <v>0</v>
      </c>
      <c r="T35" s="16">
        <v>0</v>
      </c>
    </row>
    <row r="36" spans="1:20" x14ac:dyDescent="0.25">
      <c r="A36" s="11" t="s">
        <v>169</v>
      </c>
      <c r="B36" s="13">
        <v>3332</v>
      </c>
      <c r="C36" s="14">
        <f>(2767/B36*100)</f>
        <v>83.043217286914768</v>
      </c>
      <c r="D36" s="15">
        <v>565</v>
      </c>
      <c r="E36" s="14">
        <v>45.378799139999998</v>
      </c>
      <c r="F36" s="16">
        <v>2.21055549</v>
      </c>
      <c r="G36" s="14">
        <v>45.80716726</v>
      </c>
      <c r="H36" s="16">
        <v>2.2831774600000001</v>
      </c>
      <c r="I36" s="14">
        <v>8.8140336099999992</v>
      </c>
      <c r="J36" s="16">
        <v>1.0315467</v>
      </c>
      <c r="K36" s="14" t="s">
        <v>139</v>
      </c>
      <c r="L36" s="16" t="s">
        <v>139</v>
      </c>
      <c r="M36" s="14">
        <v>0</v>
      </c>
      <c r="N36" s="16">
        <v>0</v>
      </c>
      <c r="O36" s="14">
        <v>0</v>
      </c>
      <c r="P36" s="16">
        <v>0</v>
      </c>
      <c r="Q36" s="14">
        <v>0</v>
      </c>
      <c r="R36" s="16">
        <v>0</v>
      </c>
      <c r="S36" s="14">
        <v>0</v>
      </c>
      <c r="T36" s="16">
        <v>0</v>
      </c>
    </row>
    <row r="37" spans="1:20" x14ac:dyDescent="0.25">
      <c r="A37" s="11" t="s">
        <v>170</v>
      </c>
      <c r="B37" s="13">
        <v>2727</v>
      </c>
      <c r="C37" s="14">
        <f>(2291/B37*100)</f>
        <v>84.011734506784009</v>
      </c>
      <c r="D37" s="15">
        <v>436</v>
      </c>
      <c r="E37" s="14">
        <v>44.953159749999998</v>
      </c>
      <c r="F37" s="16">
        <v>2.4773246100000001</v>
      </c>
      <c r="G37" s="14">
        <v>47.19776916</v>
      </c>
      <c r="H37" s="16">
        <v>2.36815577</v>
      </c>
      <c r="I37" s="14">
        <v>7.8490710899999998</v>
      </c>
      <c r="J37" s="16">
        <v>1.23102742</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57.721936909999997</v>
      </c>
      <c r="F39" s="16">
        <v>2.69739453</v>
      </c>
      <c r="G39" s="14">
        <v>31.169708369999999</v>
      </c>
      <c r="H39" s="16">
        <v>2.6309320899999999</v>
      </c>
      <c r="I39" s="14">
        <v>11.108354719999999</v>
      </c>
      <c r="J39" s="16">
        <v>1.3409721800000001</v>
      </c>
      <c r="K39" s="14" t="s">
        <v>139</v>
      </c>
      <c r="L39" s="16" t="s">
        <v>139</v>
      </c>
      <c r="M39" s="14">
        <v>0</v>
      </c>
      <c r="N39" s="16">
        <v>0</v>
      </c>
      <c r="O39" s="14">
        <v>0</v>
      </c>
      <c r="P39" s="16">
        <v>0</v>
      </c>
      <c r="Q39" s="14">
        <v>0</v>
      </c>
      <c r="R39" s="16">
        <v>0</v>
      </c>
      <c r="S39" s="14">
        <v>0</v>
      </c>
      <c r="T39" s="16">
        <v>0</v>
      </c>
    </row>
    <row r="40" spans="1:20" x14ac:dyDescent="0.25">
      <c r="A40" s="11" t="s">
        <v>173</v>
      </c>
      <c r="B40" s="13">
        <v>7235</v>
      </c>
      <c r="C40" s="14">
        <f>(6010/B40*100)</f>
        <v>83.068417415342083</v>
      </c>
      <c r="D40" s="15">
        <v>1225</v>
      </c>
      <c r="E40" s="14">
        <v>42.206559329999997</v>
      </c>
      <c r="F40" s="16">
        <v>1.96307714</v>
      </c>
      <c r="G40" s="14">
        <v>47.607314909999999</v>
      </c>
      <c r="H40" s="16">
        <v>2.2969643799999999</v>
      </c>
      <c r="I40" s="14">
        <v>10.18612575</v>
      </c>
      <c r="J40" s="16">
        <v>1.4387402899999999</v>
      </c>
      <c r="K40" s="14" t="s">
        <v>139</v>
      </c>
      <c r="L40" s="16" t="s">
        <v>139</v>
      </c>
      <c r="M40" s="14">
        <v>0</v>
      </c>
      <c r="N40" s="16">
        <v>0</v>
      </c>
      <c r="O40" s="14">
        <v>0</v>
      </c>
      <c r="P40" s="16">
        <v>0</v>
      </c>
      <c r="Q40" s="14">
        <v>0</v>
      </c>
      <c r="R40" s="16">
        <v>0</v>
      </c>
      <c r="S40" s="14">
        <v>0</v>
      </c>
      <c r="T40" s="16">
        <v>0</v>
      </c>
    </row>
    <row r="41" spans="1:20" x14ac:dyDescent="0.25">
      <c r="A41" s="11" t="s">
        <v>174</v>
      </c>
      <c r="B41" s="13">
        <v>2858</v>
      </c>
      <c r="C41" s="14">
        <f>(2387/B41*100)</f>
        <v>83.519944016794966</v>
      </c>
      <c r="D41" s="15">
        <v>471</v>
      </c>
      <c r="E41" s="14">
        <v>49.362650170000002</v>
      </c>
      <c r="F41" s="16">
        <v>3.0221451899999998</v>
      </c>
      <c r="G41" s="14">
        <v>41.829013660000001</v>
      </c>
      <c r="H41" s="16">
        <v>2.5327049700000002</v>
      </c>
      <c r="I41" s="14">
        <v>8.8083361700000005</v>
      </c>
      <c r="J41" s="16">
        <v>1.3834955900000001</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83.418849594780681</v>
      </c>
      <c r="D42" s="15">
        <f>IF(COUNT(D7:D41) &gt; 0, AVERAGE(D7:D41), "—")</f>
        <v>606.78125</v>
      </c>
      <c r="E42" s="14">
        <f>IF(COUNT(E7:E41) &gt; 0, AVERAGE(E7:E41), "—")</f>
        <v>43.342966626875004</v>
      </c>
      <c r="F42" s="16">
        <f>IF(COUNT(F7:F41) &gt; 0, SQRT(SUMSQ(F7:F41)/(COUNT(F7:F41)*COUNT(F7:F41)) ), "—")</f>
        <v>0.41693205031241753</v>
      </c>
      <c r="G42" s="14">
        <f>IF(COUNT(G7:G41) &gt; 0, AVERAGE(G7:G41), "—")</f>
        <v>47.659177485000001</v>
      </c>
      <c r="H42" s="16">
        <f>IF(COUNT(H7:H41) &gt; 0, SQRT(SUMSQ(H7:H41)/(COUNT(H7:H41)*COUNT(H7:H41)) ), "—")</f>
        <v>0.412882769282929</v>
      </c>
      <c r="I42" s="14">
        <f>IF(COUNT(I7:I41) &gt; 0, AVERAGE(I7:I41), "—")</f>
        <v>8.9978558884375008</v>
      </c>
      <c r="J42" s="16">
        <f>IF(COUNT(J7:J41) &gt; 0, SQRT(SUMSQ(J7:J41)/(COUNT(J7:J41)*COUNT(J7:J41)) ), "—")</f>
        <v>0.23670214674900775</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(9619/B46*100)</f>
        <v>86.908203830863755</v>
      </c>
      <c r="D46" s="15">
        <v>1449</v>
      </c>
      <c r="E46" s="14">
        <v>53.003245079999999</v>
      </c>
      <c r="F46" s="16">
        <v>1.6862311299999999</v>
      </c>
      <c r="G46" s="14">
        <v>35.300057680000002</v>
      </c>
      <c r="H46" s="16">
        <v>1.57893544</v>
      </c>
      <c r="I46" s="14">
        <v>11.696697240000001</v>
      </c>
      <c r="J46" s="16">
        <v>1.3185768899999999</v>
      </c>
      <c r="K46" s="14" t="s">
        <v>139</v>
      </c>
      <c r="L46" s="16" t="s">
        <v>139</v>
      </c>
      <c r="M46" s="14">
        <v>0</v>
      </c>
      <c r="N46" s="16">
        <v>0</v>
      </c>
      <c r="O46" s="14">
        <v>0</v>
      </c>
      <c r="P46" s="16">
        <v>0</v>
      </c>
      <c r="Q46" s="14">
        <v>0</v>
      </c>
      <c r="R46" s="16">
        <v>0</v>
      </c>
      <c r="S46" s="14">
        <v>0</v>
      </c>
      <c r="T46" s="16">
        <v>0</v>
      </c>
    </row>
    <row r="47" spans="1:20" x14ac:dyDescent="0.25">
      <c r="A47" s="11" t="s">
        <v>180</v>
      </c>
      <c r="B47" s="13">
        <v>3105</v>
      </c>
      <c r="C47" s="14">
        <f>(2613/B47*100)</f>
        <v>84.154589371980677</v>
      </c>
      <c r="D47" s="15">
        <v>492</v>
      </c>
      <c r="E47" s="14">
        <v>56.114405669999996</v>
      </c>
      <c r="F47" s="16">
        <v>2.5680351899999998</v>
      </c>
      <c r="G47" s="14">
        <v>34.118048569999999</v>
      </c>
      <c r="H47" s="16">
        <v>2.7114323300000001</v>
      </c>
      <c r="I47" s="14">
        <v>9.76754575</v>
      </c>
      <c r="J47" s="16">
        <v>1.57485886</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(4290/B48*100)</f>
        <v>83.155650319829419</v>
      </c>
      <c r="D48" s="15">
        <v>869</v>
      </c>
      <c r="E48" s="14">
        <v>45.761179800000001</v>
      </c>
      <c r="F48" s="16">
        <v>2.17717216</v>
      </c>
      <c r="G48" s="14">
        <v>46.17397965</v>
      </c>
      <c r="H48" s="16">
        <v>2.1792786300000002</v>
      </c>
      <c r="I48" s="14">
        <v>8.0648405499999996</v>
      </c>
      <c r="J48" s="16">
        <v>1.0521416100000001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(4699/B50*100)</f>
        <v>83.359943232215713</v>
      </c>
      <c r="D50" s="15">
        <v>938</v>
      </c>
      <c r="E50" s="14">
        <v>64.240513500000006</v>
      </c>
      <c r="F50" s="16">
        <v>2.26195843</v>
      </c>
      <c r="G50" s="14">
        <v>26.710829459999999</v>
      </c>
      <c r="H50" s="16">
        <v>2.01264624</v>
      </c>
      <c r="I50" s="14">
        <v>9.0486570400000002</v>
      </c>
      <c r="J50" s="16">
        <v>1.0724904</v>
      </c>
      <c r="K50" s="14" t="s">
        <v>139</v>
      </c>
      <c r="L50" s="16" t="s">
        <v>139</v>
      </c>
      <c r="M50" s="14">
        <v>0</v>
      </c>
      <c r="N50" s="16">
        <v>0</v>
      </c>
      <c r="O50" s="14">
        <v>0</v>
      </c>
      <c r="P50" s="16">
        <v>0</v>
      </c>
      <c r="Q50" s="14">
        <v>0</v>
      </c>
      <c r="R50" s="16">
        <v>0</v>
      </c>
      <c r="S50" s="14">
        <v>0</v>
      </c>
      <c r="T50" s="16">
        <v>0</v>
      </c>
    </row>
    <row r="51" spans="1:20" x14ac:dyDescent="0.25">
      <c r="A51" s="11" t="s">
        <v>184</v>
      </c>
      <c r="B51" s="13">
        <v>3372</v>
      </c>
      <c r="C51" s="14">
        <f>(2870/B51*100)</f>
        <v>85.112692763938313</v>
      </c>
      <c r="D51" s="15">
        <v>502</v>
      </c>
      <c r="E51" s="14">
        <v>54.125980980000001</v>
      </c>
      <c r="F51" s="16">
        <v>2.1392987099999998</v>
      </c>
      <c r="G51" s="14">
        <v>35.338930550000001</v>
      </c>
      <c r="H51" s="16">
        <v>1.96002147</v>
      </c>
      <c r="I51" s="14">
        <v>10.53508847</v>
      </c>
      <c r="J51" s="16">
        <v>1.3188974600000001</v>
      </c>
      <c r="K51" s="14" t="s">
        <v>139</v>
      </c>
      <c r="L51" s="16" t="s">
        <v>139</v>
      </c>
      <c r="M51" s="14">
        <v>0</v>
      </c>
      <c r="N51" s="16">
        <v>0</v>
      </c>
      <c r="O51" s="14">
        <v>0</v>
      </c>
      <c r="P51" s="16">
        <v>0</v>
      </c>
      <c r="Q51" s="14">
        <v>0</v>
      </c>
      <c r="R51" s="16">
        <v>0</v>
      </c>
      <c r="S51" s="14">
        <v>0</v>
      </c>
      <c r="T51" s="16">
        <v>0</v>
      </c>
    </row>
    <row r="52" spans="1:20" x14ac:dyDescent="0.25">
      <c r="A52" s="11" t="s">
        <v>185</v>
      </c>
      <c r="B52" s="13">
        <v>2796</v>
      </c>
      <c r="C52" s="14">
        <f>(2343/B52*100)</f>
        <v>83.798283261802581</v>
      </c>
      <c r="D52" s="15">
        <v>453</v>
      </c>
      <c r="E52" s="14">
        <v>44.111112679999998</v>
      </c>
      <c r="F52" s="16">
        <v>1.99845188</v>
      </c>
      <c r="G52" s="14">
        <v>43.076706049999999</v>
      </c>
      <c r="H52" s="16">
        <v>1.9941403600000001</v>
      </c>
      <c r="I52" s="14">
        <v>12.81218127</v>
      </c>
      <c r="J52" s="16">
        <v>1.44292822</v>
      </c>
      <c r="K52" s="14" t="s">
        <v>139</v>
      </c>
      <c r="L52" s="16" t="s">
        <v>139</v>
      </c>
      <c r="M52" s="14">
        <v>0</v>
      </c>
      <c r="N52" s="16">
        <v>0</v>
      </c>
      <c r="O52" s="14">
        <v>0</v>
      </c>
      <c r="P52" s="16">
        <v>0</v>
      </c>
      <c r="Q52" s="14">
        <v>0</v>
      </c>
      <c r="R52" s="16">
        <v>0</v>
      </c>
      <c r="S52" s="14">
        <v>0</v>
      </c>
      <c r="T52" s="16">
        <v>0</v>
      </c>
    </row>
    <row r="53" spans="1:20" x14ac:dyDescent="0.25">
      <c r="A53" s="11" t="s">
        <v>186</v>
      </c>
      <c r="B53" s="13">
        <v>2811</v>
      </c>
      <c r="C53" s="14">
        <f>(2342/B53*100)</f>
        <v>83.315546069014587</v>
      </c>
      <c r="D53" s="15">
        <v>469</v>
      </c>
      <c r="E53" s="14">
        <v>55.355684629999999</v>
      </c>
      <c r="F53" s="16">
        <v>2.3028122799999999</v>
      </c>
      <c r="G53" s="14">
        <v>36.405022260000003</v>
      </c>
      <c r="H53" s="16">
        <v>2.1720878199999998</v>
      </c>
      <c r="I53" s="14">
        <v>8.2392931100000002</v>
      </c>
      <c r="J53" s="16">
        <v>1.23536774</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(2244/B56*100)</f>
        <v>83.606557377049185</v>
      </c>
      <c r="D56" s="15">
        <v>440</v>
      </c>
      <c r="E56" s="14">
        <v>46.234394610000003</v>
      </c>
      <c r="F56" s="16">
        <v>3.0310263000000002</v>
      </c>
      <c r="G56" s="14">
        <v>46.541754730000001</v>
      </c>
      <c r="H56" s="16">
        <v>3.0099844600000001</v>
      </c>
      <c r="I56" s="14">
        <v>7.2238506600000001</v>
      </c>
      <c r="J56" s="16">
        <v>1.32850658</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(2784/B61*100)</f>
        <v>83.754512635379058</v>
      </c>
      <c r="D61" s="15">
        <v>540</v>
      </c>
      <c r="E61" s="14">
        <v>42.940729949999998</v>
      </c>
      <c r="F61" s="16">
        <v>2.3666124000000002</v>
      </c>
      <c r="G61" s="14">
        <v>47.251418690000001</v>
      </c>
      <c r="H61" s="16">
        <v>2.44138191</v>
      </c>
      <c r="I61" s="14">
        <v>9.8078513600000008</v>
      </c>
      <c r="J61" s="16">
        <v>1.3568462400000001</v>
      </c>
      <c r="K61" s="14" t="s">
        <v>139</v>
      </c>
      <c r="L61" s="16" t="s">
        <v>139</v>
      </c>
      <c r="M61" s="14">
        <v>0</v>
      </c>
      <c r="N61" s="16">
        <v>0</v>
      </c>
      <c r="O61" s="14">
        <v>0</v>
      </c>
      <c r="P61" s="16">
        <v>0</v>
      </c>
      <c r="Q61" s="14">
        <v>0</v>
      </c>
      <c r="R61" s="16">
        <v>0</v>
      </c>
      <c r="S61" s="14">
        <v>0</v>
      </c>
      <c r="T61" s="16">
        <v>0</v>
      </c>
    </row>
    <row r="62" spans="1:20" x14ac:dyDescent="0.25">
      <c r="A62" s="11" t="s">
        <v>195</v>
      </c>
      <c r="B62" s="13">
        <v>2246</v>
      </c>
      <c r="C62" s="14">
        <f>(1850/B62*100)</f>
        <v>82.36865538735529</v>
      </c>
      <c r="D62" s="15">
        <v>396</v>
      </c>
      <c r="E62" s="14">
        <v>40.960501809999997</v>
      </c>
      <c r="F62" s="16">
        <v>2.41824868</v>
      </c>
      <c r="G62" s="14">
        <v>52.460239860000001</v>
      </c>
      <c r="H62" s="16">
        <v>2.2543552500000001</v>
      </c>
      <c r="I62" s="14">
        <v>6.57925833</v>
      </c>
      <c r="J62" s="16">
        <v>1.17426681</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(2445/B66*100)</f>
        <v>84.485141672425712</v>
      </c>
      <c r="D66" s="15">
        <v>449</v>
      </c>
      <c r="E66" s="14">
        <v>59.298204839999997</v>
      </c>
      <c r="F66" s="16">
        <v>2.3145254799999999</v>
      </c>
      <c r="G66" s="14">
        <v>28.119110160000002</v>
      </c>
      <c r="H66" s="16">
        <v>2.2612485599999999</v>
      </c>
      <c r="I66" s="14">
        <v>12.582685</v>
      </c>
      <c r="J66" s="16">
        <v>1.5245824400000001</v>
      </c>
      <c r="K66" s="14" t="s">
        <v>139</v>
      </c>
      <c r="L66" s="16" t="s">
        <v>139</v>
      </c>
      <c r="M66" s="14">
        <v>0</v>
      </c>
      <c r="N66" s="16">
        <v>0</v>
      </c>
      <c r="O66" s="14">
        <v>0</v>
      </c>
      <c r="P66" s="16">
        <v>0</v>
      </c>
      <c r="Q66" s="14">
        <v>0</v>
      </c>
      <c r="R66" s="16">
        <v>0</v>
      </c>
      <c r="S66" s="14">
        <v>0</v>
      </c>
      <c r="T66" s="16">
        <v>0</v>
      </c>
    </row>
    <row r="67" spans="1:20" x14ac:dyDescent="0.25">
      <c r="A67" s="11" t="s">
        <v>200</v>
      </c>
      <c r="B67" s="13">
        <v>3511</v>
      </c>
      <c r="C67" s="14">
        <f>(2981/B67*100)</f>
        <v>84.904585588151519</v>
      </c>
      <c r="D67" s="15">
        <v>530</v>
      </c>
      <c r="E67" s="14">
        <v>62.166039470000001</v>
      </c>
      <c r="F67" s="16">
        <v>2.2301574500000001</v>
      </c>
      <c r="G67" s="14">
        <v>26.900993880000001</v>
      </c>
      <c r="H67" s="16">
        <v>2.07183172</v>
      </c>
      <c r="I67" s="14">
        <v>10.932966649999999</v>
      </c>
      <c r="J67" s="16">
        <v>1.39393082</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(2445/B70*100)</f>
        <v>83.475588938204169</v>
      </c>
      <c r="D70" s="15">
        <v>484</v>
      </c>
      <c r="E70" s="14">
        <v>46.972407689999997</v>
      </c>
      <c r="F70" s="16">
        <v>3.2476941699999999</v>
      </c>
      <c r="G70" s="14">
        <v>43.972735710000002</v>
      </c>
      <c r="H70" s="16">
        <v>3.27026935</v>
      </c>
      <c r="I70" s="14">
        <v>9.0548566000000008</v>
      </c>
      <c r="J70" s="16">
        <v>1.6912898000000001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(3210/B72*100)</f>
        <v>82.540498842890202</v>
      </c>
      <c r="D72" s="15">
        <v>679</v>
      </c>
      <c r="E72" s="14">
        <v>39.557438449999999</v>
      </c>
      <c r="F72" s="16">
        <v>1.82990404</v>
      </c>
      <c r="G72" s="14">
        <v>53.704819059999998</v>
      </c>
      <c r="H72" s="16">
        <v>1.9105521000000001</v>
      </c>
      <c r="I72" s="14">
        <v>6.7377424899999996</v>
      </c>
      <c r="J72" s="16">
        <v>0.96443639000000003</v>
      </c>
      <c r="K72" s="14" t="s">
        <v>139</v>
      </c>
      <c r="L72" s="16" t="s">
        <v>139</v>
      </c>
      <c r="M72" s="14">
        <v>0</v>
      </c>
      <c r="N72" s="16">
        <v>0</v>
      </c>
      <c r="O72" s="14">
        <v>0</v>
      </c>
      <c r="P72" s="16">
        <v>0</v>
      </c>
      <c r="Q72" s="14">
        <v>0</v>
      </c>
      <c r="R72" s="16">
        <v>0</v>
      </c>
      <c r="S72" s="14">
        <v>0</v>
      </c>
      <c r="T72" s="16">
        <v>0</v>
      </c>
    </row>
    <row r="73" spans="1:20" x14ac:dyDescent="0.25">
      <c r="A73" s="11" t="s">
        <v>206</v>
      </c>
      <c r="B73" s="13">
        <v>3597</v>
      </c>
      <c r="C73" s="14">
        <f>(3003/B73*100)</f>
        <v>83.486238532110093</v>
      </c>
      <c r="D73" s="15">
        <v>594</v>
      </c>
      <c r="E73" s="14">
        <v>62.118310180000002</v>
      </c>
      <c r="F73" s="16">
        <v>2.4288039100000001</v>
      </c>
      <c r="G73" s="14">
        <v>30.43095344</v>
      </c>
      <c r="H73" s="16">
        <v>2.2509074899999999</v>
      </c>
      <c r="I73" s="14">
        <v>7.4507363800000004</v>
      </c>
      <c r="J73" s="16">
        <v>1.01748719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(2046/B75*100)</f>
        <v>85.037406483790519</v>
      </c>
      <c r="D75" s="15">
        <v>360</v>
      </c>
      <c r="E75" s="14">
        <v>70.258650130000007</v>
      </c>
      <c r="F75" s="16">
        <v>2.6212705000000001</v>
      </c>
      <c r="G75" s="14">
        <v>18.364072719999999</v>
      </c>
      <c r="H75" s="16">
        <v>2.1335364700000001</v>
      </c>
      <c r="I75" s="14">
        <v>11.37727716</v>
      </c>
      <c r="J75" s="16">
        <v>1.6176712900000001</v>
      </c>
      <c r="K75" s="14" t="s">
        <v>139</v>
      </c>
      <c r="L75" s="16" t="s">
        <v>139</v>
      </c>
      <c r="M75" s="14">
        <v>0</v>
      </c>
      <c r="N75" s="16">
        <v>0</v>
      </c>
      <c r="O75" s="14">
        <v>0</v>
      </c>
      <c r="P75" s="16">
        <v>0</v>
      </c>
      <c r="Q75" s="14">
        <v>0</v>
      </c>
      <c r="R75" s="16">
        <v>0</v>
      </c>
      <c r="S75" s="14">
        <v>0</v>
      </c>
      <c r="T75" s="16">
        <v>0</v>
      </c>
    </row>
    <row r="76" spans="1:20" x14ac:dyDescent="0.25">
      <c r="A76" s="11" t="s">
        <v>209</v>
      </c>
      <c r="B76" s="13">
        <v>7052</v>
      </c>
      <c r="C76" s="14">
        <f>(5868/B76*100)</f>
        <v>83.210436755530353</v>
      </c>
      <c r="D76" s="15">
        <v>1184</v>
      </c>
      <c r="E76" s="14">
        <v>60.233235120000003</v>
      </c>
      <c r="F76" s="16">
        <v>1.7340916099999999</v>
      </c>
      <c r="G76" s="14">
        <v>32.01547497</v>
      </c>
      <c r="H76" s="16">
        <v>1.7029429599999999</v>
      </c>
      <c r="I76" s="14">
        <v>7.7512899099999997</v>
      </c>
      <c r="J76" s="16">
        <v>0.97543007000000004</v>
      </c>
      <c r="K76" s="14" t="s">
        <v>139</v>
      </c>
      <c r="L76" s="16" t="s">
        <v>139</v>
      </c>
      <c r="M76" s="14">
        <v>0</v>
      </c>
      <c r="N76" s="16">
        <v>0</v>
      </c>
      <c r="O76" s="14">
        <v>0</v>
      </c>
      <c r="P76" s="16">
        <v>0</v>
      </c>
      <c r="Q76" s="14">
        <v>0</v>
      </c>
      <c r="R76" s="16">
        <v>0</v>
      </c>
      <c r="S76" s="14">
        <v>0</v>
      </c>
      <c r="T76" s="16">
        <v>0</v>
      </c>
    </row>
    <row r="77" spans="1:20" x14ac:dyDescent="0.25">
      <c r="A77" s="11" t="s">
        <v>210</v>
      </c>
      <c r="B77" s="13">
        <v>2908</v>
      </c>
      <c r="C77" s="14">
        <f>(2466/B77*100)</f>
        <v>84.800550206327372</v>
      </c>
      <c r="D77" s="15">
        <v>442</v>
      </c>
      <c r="E77" s="14">
        <v>53.486488299999998</v>
      </c>
      <c r="F77" s="16">
        <v>2.4424359099999999</v>
      </c>
      <c r="G77" s="14">
        <v>30.659880749999999</v>
      </c>
      <c r="H77" s="16">
        <v>2.2340350400000002</v>
      </c>
      <c r="I77" s="14">
        <v>15.853630949999999</v>
      </c>
      <c r="J77" s="16">
        <v>1.92729839</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(3457/B81*100)</f>
        <v>83.041076147009363</v>
      </c>
      <c r="D81" s="15">
        <v>706</v>
      </c>
      <c r="E81" s="14">
        <v>55.440749889999999</v>
      </c>
      <c r="F81" s="16">
        <v>2.3731802200000001</v>
      </c>
      <c r="G81" s="14">
        <v>37.409731370000003</v>
      </c>
      <c r="H81" s="16">
        <v>2.3642798599999999</v>
      </c>
      <c r="I81" s="14">
        <v>7.1495187400000004</v>
      </c>
      <c r="J81" s="16">
        <v>1.1432447699999999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(6156/B7*100)</f>
        <v>83.561829781457845</v>
      </c>
      <c r="D7" s="15">
        <v>1211</v>
      </c>
      <c r="E7" s="14">
        <v>50.98098675</v>
      </c>
      <c r="F7" s="16">
        <v>1.90818558</v>
      </c>
      <c r="G7" s="14">
        <v>49.01901325</v>
      </c>
      <c r="H7" s="16">
        <v>1.90818558</v>
      </c>
      <c r="I7" s="14" t="s">
        <v>139</v>
      </c>
      <c r="J7" s="16" t="s">
        <v>139</v>
      </c>
      <c r="K7" s="14">
        <v>0</v>
      </c>
      <c r="L7" s="16">
        <v>0</v>
      </c>
      <c r="M7" s="14">
        <v>0</v>
      </c>
      <c r="N7" s="16">
        <v>0</v>
      </c>
      <c r="O7" s="14">
        <v>0</v>
      </c>
      <c r="P7" s="16">
        <v>0</v>
      </c>
      <c r="Q7" s="14">
        <v>0</v>
      </c>
      <c r="R7" s="16">
        <v>0</v>
      </c>
    </row>
    <row r="8" spans="1:18" x14ac:dyDescent="0.25">
      <c r="A8" s="11" t="s">
        <v>140</v>
      </c>
      <c r="B8" s="13">
        <v>3564</v>
      </c>
      <c r="C8" s="14">
        <f>(2953/B8*100)</f>
        <v>82.856341189674524</v>
      </c>
      <c r="D8" s="15">
        <v>611</v>
      </c>
      <c r="E8" s="14">
        <v>58.996454989999997</v>
      </c>
      <c r="F8" s="16">
        <v>2.2042780799999999</v>
      </c>
      <c r="G8" s="14">
        <v>41.003545010000003</v>
      </c>
      <c r="H8" s="16">
        <v>2.2042780799999999</v>
      </c>
      <c r="I8" s="14" t="s">
        <v>139</v>
      </c>
      <c r="J8" s="16" t="s">
        <v>139</v>
      </c>
      <c r="K8" s="14">
        <v>0</v>
      </c>
      <c r="L8" s="16">
        <v>0</v>
      </c>
      <c r="M8" s="14">
        <v>0</v>
      </c>
      <c r="N8" s="16">
        <v>0</v>
      </c>
      <c r="O8" s="14">
        <v>0</v>
      </c>
      <c r="P8" s="16">
        <v>0</v>
      </c>
      <c r="Q8" s="14">
        <v>0</v>
      </c>
      <c r="R8" s="16">
        <v>0</v>
      </c>
    </row>
    <row r="9" spans="1:18" x14ac:dyDescent="0.25">
      <c r="A9" s="11" t="s">
        <v>141</v>
      </c>
      <c r="B9" s="13">
        <v>4899</v>
      </c>
      <c r="C9" s="14">
        <f>(4101/B9*100)</f>
        <v>83.710961420698098</v>
      </c>
      <c r="D9" s="15">
        <v>798</v>
      </c>
      <c r="E9" s="14">
        <v>57.757180910000002</v>
      </c>
      <c r="F9" s="16">
        <v>1.8222236199999999</v>
      </c>
      <c r="G9" s="14">
        <v>42.242819089999998</v>
      </c>
      <c r="H9" s="16">
        <v>1.8222236199999999</v>
      </c>
      <c r="I9" s="14" t="s">
        <v>139</v>
      </c>
      <c r="J9" s="16" t="s">
        <v>139</v>
      </c>
      <c r="K9" s="14">
        <v>0</v>
      </c>
      <c r="L9" s="16">
        <v>0</v>
      </c>
      <c r="M9" s="14">
        <v>0</v>
      </c>
      <c r="N9" s="16">
        <v>0</v>
      </c>
      <c r="O9" s="14">
        <v>0</v>
      </c>
      <c r="P9" s="16">
        <v>0</v>
      </c>
      <c r="Q9" s="14">
        <v>0</v>
      </c>
      <c r="R9" s="16">
        <v>0</v>
      </c>
    </row>
    <row r="10" spans="1:18" x14ac:dyDescent="0.25">
      <c r="A10" s="11" t="s">
        <v>142</v>
      </c>
      <c r="B10" s="13">
        <v>10036</v>
      </c>
      <c r="C10" s="14">
        <f>(8359/B10*100)</f>
        <v>83.290155440414509</v>
      </c>
      <c r="D10" s="15">
        <v>1677</v>
      </c>
      <c r="E10" s="14">
        <v>50.136324070000001</v>
      </c>
      <c r="F10" s="16">
        <v>1.55188847</v>
      </c>
      <c r="G10" s="14">
        <v>49.863675929999999</v>
      </c>
      <c r="H10" s="16">
        <v>1.55188847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(2964/B11*100)</f>
        <v>83.422459893048128</v>
      </c>
      <c r="D11" s="15">
        <v>589</v>
      </c>
      <c r="E11" s="14">
        <v>60.948911109999997</v>
      </c>
      <c r="F11" s="16">
        <v>2.06997426</v>
      </c>
      <c r="G11" s="14">
        <v>39.051088890000003</v>
      </c>
      <c r="H11" s="16">
        <v>2.06997426</v>
      </c>
      <c r="I11" s="14" t="s">
        <v>139</v>
      </c>
      <c r="J11" s="16" t="s">
        <v>139</v>
      </c>
      <c r="K11" s="14">
        <v>0</v>
      </c>
      <c r="L11" s="16">
        <v>0</v>
      </c>
      <c r="M11" s="14">
        <v>0</v>
      </c>
      <c r="N11" s="16">
        <v>0</v>
      </c>
      <c r="O11" s="14">
        <v>0</v>
      </c>
      <c r="P11" s="16">
        <v>0</v>
      </c>
      <c r="Q11" s="14">
        <v>0</v>
      </c>
      <c r="R11" s="16">
        <v>0</v>
      </c>
    </row>
    <row r="12" spans="1:18" x14ac:dyDescent="0.25">
      <c r="A12" s="11" t="s">
        <v>144</v>
      </c>
      <c r="B12" s="13">
        <v>3472</v>
      </c>
      <c r="C12" s="14">
        <f>(2865/B12*100)</f>
        <v>82.517281105990776</v>
      </c>
      <c r="D12" s="15">
        <v>607</v>
      </c>
      <c r="E12" s="14">
        <v>48.645994850000001</v>
      </c>
      <c r="F12" s="16">
        <v>2.4654623899999999</v>
      </c>
      <c r="G12" s="14">
        <v>51.354005149999999</v>
      </c>
      <c r="H12" s="16">
        <v>2.4654623899999999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(3005/B13*100)</f>
        <v>84.433829727451524</v>
      </c>
      <c r="D13" s="15">
        <v>554</v>
      </c>
      <c r="E13" s="14">
        <v>50.390597839999998</v>
      </c>
      <c r="F13" s="16">
        <v>2.7693812499999999</v>
      </c>
      <c r="G13" s="14">
        <v>49.609402160000002</v>
      </c>
      <c r="H13" s="16">
        <v>2.7693812499999999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(2321/B14*100)</f>
        <v>82.922472311539835</v>
      </c>
      <c r="D14" s="15">
        <v>478</v>
      </c>
      <c r="E14" s="14">
        <v>62.273591199999998</v>
      </c>
      <c r="F14" s="16">
        <v>2.2753600600000001</v>
      </c>
      <c r="G14" s="14">
        <v>37.726408800000002</v>
      </c>
      <c r="H14" s="16">
        <v>2.2753600600000001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(2509/B15*100)</f>
        <v>83.10698906922822</v>
      </c>
      <c r="D15" s="15">
        <v>510</v>
      </c>
      <c r="E15" s="14">
        <v>55.010944090000002</v>
      </c>
      <c r="F15" s="16">
        <v>2.0291364199999999</v>
      </c>
      <c r="G15" s="14">
        <v>44.989055909999998</v>
      </c>
      <c r="H15" s="16">
        <v>2.0291364199999999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(2517/B16*100)</f>
        <v>83.983983983983975</v>
      </c>
      <c r="D16" s="15">
        <v>480</v>
      </c>
      <c r="E16" s="14">
        <v>53.890711070000002</v>
      </c>
      <c r="F16" s="16">
        <v>2.1428663100000001</v>
      </c>
      <c r="G16" s="14">
        <v>46.109288929999998</v>
      </c>
      <c r="H16" s="16">
        <v>2.1428663100000001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(2793/B17*100)</f>
        <v>84.457211974599332</v>
      </c>
      <c r="D17" s="15">
        <v>514</v>
      </c>
      <c r="E17" s="14">
        <v>59.25870973</v>
      </c>
      <c r="F17" s="16">
        <v>2.3401831</v>
      </c>
      <c r="G17" s="14">
        <v>40.74129027</v>
      </c>
      <c r="H17" s="16">
        <v>2.3401831</v>
      </c>
      <c r="I17" s="14" t="s">
        <v>139</v>
      </c>
      <c r="J17" s="16" t="s">
        <v>139</v>
      </c>
      <c r="K17" s="14">
        <v>0</v>
      </c>
      <c r="L17" s="16">
        <v>0</v>
      </c>
      <c r="M17" s="14">
        <v>0</v>
      </c>
      <c r="N17" s="16">
        <v>0</v>
      </c>
      <c r="O17" s="14">
        <v>0</v>
      </c>
      <c r="P17" s="16">
        <v>0</v>
      </c>
      <c r="Q17" s="14">
        <v>0</v>
      </c>
      <c r="R17" s="16">
        <v>0</v>
      </c>
    </row>
    <row r="18" spans="1:18" x14ac:dyDescent="0.25">
      <c r="A18" s="11" t="s">
        <v>150</v>
      </c>
      <c r="B18" s="13">
        <v>2826</v>
      </c>
      <c r="C18" s="14">
        <f>(2348/B18*100)</f>
        <v>83.08563340410474</v>
      </c>
      <c r="D18" s="15">
        <v>478</v>
      </c>
      <c r="E18" s="14">
        <v>64.350005859999996</v>
      </c>
      <c r="F18" s="16">
        <v>2.0828290300000001</v>
      </c>
      <c r="G18" s="14">
        <v>35.649994139999997</v>
      </c>
      <c r="H18" s="16">
        <v>2.0828290300000001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(2341/B19*100)</f>
        <v>83.368945868945872</v>
      </c>
      <c r="D19" s="15">
        <v>467</v>
      </c>
      <c r="E19" s="14">
        <v>61.266103459999997</v>
      </c>
      <c r="F19" s="16">
        <v>2.49457285</v>
      </c>
      <c r="G19" s="14">
        <v>38.733896540000003</v>
      </c>
      <c r="H19" s="16">
        <v>2.49457285</v>
      </c>
      <c r="I19" s="14" t="s">
        <v>139</v>
      </c>
      <c r="J19" s="16" t="s">
        <v>139</v>
      </c>
      <c r="K19" s="14">
        <v>0</v>
      </c>
      <c r="L19" s="16">
        <v>0</v>
      </c>
      <c r="M19" s="14">
        <v>0</v>
      </c>
      <c r="N19" s="16">
        <v>0</v>
      </c>
      <c r="O19" s="14">
        <v>0</v>
      </c>
      <c r="P19" s="16">
        <v>0</v>
      </c>
      <c r="Q19" s="14">
        <v>0</v>
      </c>
      <c r="R19" s="16">
        <v>0</v>
      </c>
    </row>
    <row r="20" spans="1:18" x14ac:dyDescent="0.25">
      <c r="A20" s="11" t="s">
        <v>152</v>
      </c>
      <c r="B20" s="13">
        <v>1630</v>
      </c>
      <c r="C20" s="14">
        <f>(1364/B20*100)</f>
        <v>83.680981595092035</v>
      </c>
      <c r="D20" s="15">
        <v>266</v>
      </c>
      <c r="E20" s="14">
        <v>61.492388810000001</v>
      </c>
      <c r="F20" s="16">
        <v>3.27484961</v>
      </c>
      <c r="G20" s="14">
        <v>38.507611189999999</v>
      </c>
      <c r="H20" s="16">
        <v>3.27484961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(2446/B22*100)</f>
        <v>83.452746502900027</v>
      </c>
      <c r="D22" s="15">
        <v>485</v>
      </c>
      <c r="E22" s="14">
        <v>67.765540869999995</v>
      </c>
      <c r="F22" s="16">
        <v>2.3653405200000002</v>
      </c>
      <c r="G22" s="14">
        <v>32.234459129999998</v>
      </c>
      <c r="H22" s="16">
        <v>2.3653405200000002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(4797/B23*100)</f>
        <v>82.835434294595061</v>
      </c>
      <c r="D23" s="15">
        <v>994</v>
      </c>
      <c r="E23" s="14">
        <v>58.30544768</v>
      </c>
      <c r="F23" s="16">
        <v>2.3703787599999999</v>
      </c>
      <c r="G23" s="14">
        <v>41.69455232</v>
      </c>
      <c r="H23" s="16">
        <v>2.3703787599999999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(2777/B24*100)</f>
        <v>83.193529059316944</v>
      </c>
      <c r="D24" s="15">
        <v>561</v>
      </c>
      <c r="E24" s="14">
        <v>45.34043131</v>
      </c>
      <c r="F24" s="16">
        <v>2.2460276600000002</v>
      </c>
      <c r="G24" s="14">
        <v>54.65956869</v>
      </c>
      <c r="H24" s="16">
        <v>2.2460276600000002</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61.203092230000003</v>
      </c>
      <c r="F25" s="16">
        <v>2.3648618799999999</v>
      </c>
      <c r="G25" s="14">
        <v>38.796907769999997</v>
      </c>
      <c r="H25" s="16">
        <v>2.3648618799999999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(2044/B26*100)</f>
        <v>83.428571428571431</v>
      </c>
      <c r="D26" s="15">
        <v>406</v>
      </c>
      <c r="E26" s="14">
        <v>68.860575420000004</v>
      </c>
      <c r="F26" s="16">
        <v>2.4387853700000002</v>
      </c>
      <c r="G26" s="14">
        <v>31.13942458</v>
      </c>
      <c r="H26" s="16">
        <v>2.4387853700000002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(2189/B27*100)</f>
        <v>83.677370030581045</v>
      </c>
      <c r="D27" s="15">
        <v>427</v>
      </c>
      <c r="E27" s="14">
        <v>63.52231939</v>
      </c>
      <c r="F27" s="16">
        <v>2.65887823</v>
      </c>
      <c r="G27" s="14">
        <v>36.47768061</v>
      </c>
      <c r="H27" s="16">
        <v>2.65887823</v>
      </c>
      <c r="I27" s="14" t="s">
        <v>139</v>
      </c>
      <c r="J27" s="16" t="s">
        <v>139</v>
      </c>
      <c r="K27" s="14">
        <v>0</v>
      </c>
      <c r="L27" s="16">
        <v>0</v>
      </c>
      <c r="M27" s="14">
        <v>0</v>
      </c>
      <c r="N27" s="16">
        <v>0</v>
      </c>
      <c r="O27" s="14">
        <v>0</v>
      </c>
      <c r="P27" s="16">
        <v>0</v>
      </c>
      <c r="Q27" s="14">
        <v>0</v>
      </c>
      <c r="R27" s="16">
        <v>0</v>
      </c>
    </row>
    <row r="28" spans="1:18" x14ac:dyDescent="0.25">
      <c r="A28" s="11" t="s">
        <v>161</v>
      </c>
      <c r="B28" s="13">
        <v>3765</v>
      </c>
      <c r="C28" s="14">
        <f>(3164/B28*100)</f>
        <v>84.037184594953516</v>
      </c>
      <c r="D28" s="15">
        <v>601</v>
      </c>
      <c r="E28" s="14">
        <v>67.935189739999998</v>
      </c>
      <c r="F28" s="16">
        <v>2.11906186</v>
      </c>
      <c r="G28" s="14">
        <v>32.064810260000002</v>
      </c>
      <c r="H28" s="16">
        <v>2.11906186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55.487380530000003</v>
      </c>
      <c r="F29" s="16">
        <v>2.4425171400000001</v>
      </c>
      <c r="G29" s="14">
        <v>44.512619469999997</v>
      </c>
      <c r="H29" s="16">
        <v>2.4425171400000001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(1891/B30*100)</f>
        <v>83.561643835616437</v>
      </c>
      <c r="D30" s="15">
        <v>372</v>
      </c>
      <c r="E30" s="14">
        <v>49.093190380000003</v>
      </c>
      <c r="F30" s="16">
        <v>2.9978599899999998</v>
      </c>
      <c r="G30" s="14">
        <v>50.906809619999997</v>
      </c>
      <c r="H30" s="16">
        <v>2.9978599899999998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(2300/B31*100)</f>
        <v>83.636363636363626</v>
      </c>
      <c r="D31" s="15">
        <v>450</v>
      </c>
      <c r="E31" s="14">
        <v>56.699928720000003</v>
      </c>
      <c r="F31" s="16">
        <v>2.1999168899999999</v>
      </c>
      <c r="G31" s="14">
        <v>43.300071279999997</v>
      </c>
      <c r="H31" s="16">
        <v>2.1999168899999999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(3068/B33*100)</f>
        <v>83.505715841045173</v>
      </c>
      <c r="D33" s="15">
        <v>606</v>
      </c>
      <c r="E33" s="14">
        <v>56.378246969999999</v>
      </c>
      <c r="F33" s="16">
        <v>2.7185442599999998</v>
      </c>
      <c r="G33" s="14">
        <v>43.621753030000001</v>
      </c>
      <c r="H33" s="16">
        <v>2.7185442599999998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(2773/B34*100)</f>
        <v>83.650075414781298</v>
      </c>
      <c r="D34" s="15">
        <v>542</v>
      </c>
      <c r="E34" s="14">
        <v>69.848137039999997</v>
      </c>
      <c r="F34" s="16">
        <v>2.1735143300000002</v>
      </c>
      <c r="G34" s="14">
        <v>30.151862959999999</v>
      </c>
      <c r="H34" s="16">
        <v>2.1735143300000002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(2930/B35*100)</f>
        <v>83.594864479315262</v>
      </c>
      <c r="D35" s="15">
        <v>575</v>
      </c>
      <c r="E35" s="14">
        <v>60.68346262</v>
      </c>
      <c r="F35" s="16">
        <v>2.5953717200000002</v>
      </c>
      <c r="G35" s="14">
        <v>39.31653738</v>
      </c>
      <c r="H35" s="16">
        <v>2.5953717200000002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(2767/B36*100)</f>
        <v>83.043217286914768</v>
      </c>
      <c r="D36" s="15">
        <v>565</v>
      </c>
      <c r="E36" s="14">
        <v>56.639408709999998</v>
      </c>
      <c r="F36" s="16">
        <v>2.3706730600000001</v>
      </c>
      <c r="G36" s="14">
        <v>43.360591290000002</v>
      </c>
      <c r="H36" s="16">
        <v>2.3706730600000001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(2291/B37*100)</f>
        <v>84.011734506784009</v>
      </c>
      <c r="D37" s="15">
        <v>436</v>
      </c>
      <c r="E37" s="14">
        <v>60.578890430000001</v>
      </c>
      <c r="F37" s="16">
        <v>2.7432415400000001</v>
      </c>
      <c r="G37" s="14">
        <v>39.421109569999999</v>
      </c>
      <c r="H37" s="16">
        <v>2.7432415400000001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82.548927989999996</v>
      </c>
      <c r="F39" s="16">
        <v>1.9515966899999999</v>
      </c>
      <c r="G39" s="14">
        <v>17.451072010000001</v>
      </c>
      <c r="H39" s="16">
        <v>1.9515966899999999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(6010/B40*100)</f>
        <v>83.068417415342083</v>
      </c>
      <c r="D40" s="15">
        <v>1225</v>
      </c>
      <c r="E40" s="14">
        <v>52.334435820000003</v>
      </c>
      <c r="F40" s="16">
        <v>2.4194662999999998</v>
      </c>
      <c r="G40" s="14">
        <v>47.665564179999997</v>
      </c>
      <c r="H40" s="16">
        <v>2.4194662999999998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(2387/B41*100)</f>
        <v>83.519944016794966</v>
      </c>
      <c r="D41" s="15">
        <v>471</v>
      </c>
      <c r="E41" s="14">
        <v>53.052386149999997</v>
      </c>
      <c r="F41" s="16">
        <v>2.35832884</v>
      </c>
      <c r="G41" s="14">
        <v>46.947613850000003</v>
      </c>
      <c r="H41" s="16">
        <v>2.35832884</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83.418849594780681</v>
      </c>
      <c r="D42" s="15">
        <f>IF(COUNT(D7:D41) &gt; 0, AVERAGE(D7:D41), "—")</f>
        <v>606.78125</v>
      </c>
      <c r="E42" s="14">
        <f>IF(COUNT(E7:E41) &gt; 0, AVERAGE(E7:E41), "—")</f>
        <v>58.802371773124996</v>
      </c>
      <c r="F42" s="16">
        <f>IF(COUNT(F7:F41) &gt; 0, SQRT(SUMSQ(F7:F41)/(COUNT(F7:F41)*COUNT(F7:F41)) ), "—")</f>
        <v>0.41842552041230141</v>
      </c>
      <c r="G42" s="14">
        <f>IF(COUNT(G7:G41) &gt; 0, AVERAGE(G7:G41), "—")</f>
        <v>41.197628226874997</v>
      </c>
      <c r="H42" s="16">
        <f>IF(COUNT(H7:H41) &gt; 0, SQRT(SUMSQ(H7:H41)/(COUNT(H7:H41)*COUNT(H7:H41)) ), "—")</f>
        <v>0.41842552041230141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(9619/B46*100)</f>
        <v>86.908203830863755</v>
      </c>
      <c r="D46" s="15">
        <v>1449</v>
      </c>
      <c r="E46" s="14">
        <v>66.719524120000003</v>
      </c>
      <c r="F46" s="16">
        <v>1.4974896799999999</v>
      </c>
      <c r="G46" s="14">
        <v>33.280475879999997</v>
      </c>
      <c r="H46" s="16">
        <v>1.4974896799999999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(2613/B47*100)</f>
        <v>84.154589371980677</v>
      </c>
      <c r="D47" s="15">
        <v>492</v>
      </c>
      <c r="E47" s="14">
        <v>66.078262109999997</v>
      </c>
      <c r="F47" s="16">
        <v>1.92330293</v>
      </c>
      <c r="G47" s="14">
        <v>33.921737890000003</v>
      </c>
      <c r="H47" s="16">
        <v>1.92330293</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(4290/B48*100)</f>
        <v>83.155650319829419</v>
      </c>
      <c r="D48" s="15">
        <v>869</v>
      </c>
      <c r="E48" s="14">
        <v>70.273842880000004</v>
      </c>
      <c r="F48" s="16">
        <v>2.15679329</v>
      </c>
      <c r="G48" s="14">
        <v>29.72615712</v>
      </c>
      <c r="H48" s="16">
        <v>2.15679329</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(4699/B50*100)</f>
        <v>83.359943232215713</v>
      </c>
      <c r="D50" s="15">
        <v>938</v>
      </c>
      <c r="E50" s="14">
        <v>70.541131269999994</v>
      </c>
      <c r="F50" s="16">
        <v>1.8438350999999999</v>
      </c>
      <c r="G50" s="14">
        <v>29.458868729999999</v>
      </c>
      <c r="H50" s="16">
        <v>1.8438350999999999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(2870/B51*100)</f>
        <v>85.112692763938313</v>
      </c>
      <c r="D51" s="15">
        <v>502</v>
      </c>
      <c r="E51" s="14">
        <v>68.756549699999994</v>
      </c>
      <c r="F51" s="16">
        <v>2.0345855300000002</v>
      </c>
      <c r="G51" s="14">
        <v>31.243450299999999</v>
      </c>
      <c r="H51" s="16">
        <v>2.0345855300000002</v>
      </c>
      <c r="I51" s="14" t="s">
        <v>139</v>
      </c>
      <c r="J51" s="16" t="s">
        <v>139</v>
      </c>
      <c r="K51" s="14">
        <v>0</v>
      </c>
      <c r="L51" s="16">
        <v>0</v>
      </c>
      <c r="M51" s="14">
        <v>0</v>
      </c>
      <c r="N51" s="16">
        <v>0</v>
      </c>
      <c r="O51" s="14">
        <v>0</v>
      </c>
      <c r="P51" s="16">
        <v>0</v>
      </c>
      <c r="Q51" s="14">
        <v>0</v>
      </c>
      <c r="R51" s="16">
        <v>0</v>
      </c>
    </row>
    <row r="52" spans="1:18" x14ac:dyDescent="0.25">
      <c r="A52" s="11" t="s">
        <v>185</v>
      </c>
      <c r="B52" s="13">
        <v>2796</v>
      </c>
      <c r="C52" s="14">
        <f>(2343/B52*100)</f>
        <v>83.798283261802581</v>
      </c>
      <c r="D52" s="15">
        <v>453</v>
      </c>
      <c r="E52" s="14">
        <v>67.672327229999993</v>
      </c>
      <c r="F52" s="16">
        <v>2.2425391000000001</v>
      </c>
      <c r="G52" s="14">
        <v>32.32767277</v>
      </c>
      <c r="H52" s="16">
        <v>2.2425391000000001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(2342/B53*100)</f>
        <v>83.315546069014587</v>
      </c>
      <c r="D53" s="15">
        <v>469</v>
      </c>
      <c r="E53" s="14">
        <v>68.642386029999997</v>
      </c>
      <c r="F53" s="16">
        <v>2.2127773999999998</v>
      </c>
      <c r="G53" s="14">
        <v>31.357613969999999</v>
      </c>
      <c r="H53" s="16">
        <v>2.2127773999999998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(2244/B56*100)</f>
        <v>83.606557377049185</v>
      </c>
      <c r="D56" s="15">
        <v>440</v>
      </c>
      <c r="E56" s="14">
        <v>50.7830218</v>
      </c>
      <c r="F56" s="16">
        <v>3.0213603199999999</v>
      </c>
      <c r="G56" s="14">
        <v>49.2169782</v>
      </c>
      <c r="H56" s="16">
        <v>3.0213603199999999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(2784/B61*100)</f>
        <v>83.754512635379058</v>
      </c>
      <c r="D61" s="15">
        <v>540</v>
      </c>
      <c r="E61" s="14">
        <v>69.790778750000001</v>
      </c>
      <c r="F61" s="16">
        <v>1.86154043</v>
      </c>
      <c r="G61" s="14">
        <v>30.209221249999999</v>
      </c>
      <c r="H61" s="16">
        <v>1.86154043</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(1850/B62*100)</f>
        <v>82.36865538735529</v>
      </c>
      <c r="D62" s="15">
        <v>396</v>
      </c>
      <c r="E62" s="14">
        <v>58.085728019999998</v>
      </c>
      <c r="F62" s="16">
        <v>2.71063353</v>
      </c>
      <c r="G62" s="14">
        <v>41.914271980000002</v>
      </c>
      <c r="H62" s="16">
        <v>2.71063353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(2445/B66*100)</f>
        <v>84.485141672425712</v>
      </c>
      <c r="D66" s="15">
        <v>449</v>
      </c>
      <c r="E66" s="14">
        <v>72.262819059999998</v>
      </c>
      <c r="F66" s="16">
        <v>2.1539910099999999</v>
      </c>
      <c r="G66" s="14">
        <v>27.737180939999998</v>
      </c>
      <c r="H66" s="16">
        <v>2.1539910099999999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(2981/B67*100)</f>
        <v>84.904585588151519</v>
      </c>
      <c r="D67" s="15">
        <v>530</v>
      </c>
      <c r="E67" s="14">
        <v>69.292221229999996</v>
      </c>
      <c r="F67" s="16">
        <v>2.02333265</v>
      </c>
      <c r="G67" s="14">
        <v>30.707778770000001</v>
      </c>
      <c r="H67" s="16">
        <v>2.02333265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(2445/B70*100)</f>
        <v>83.475588938204169</v>
      </c>
      <c r="D70" s="15">
        <v>484</v>
      </c>
      <c r="E70" s="14">
        <v>67.948475090000002</v>
      </c>
      <c r="F70" s="16">
        <v>2.9156771899999998</v>
      </c>
      <c r="G70" s="14">
        <v>32.051524909999998</v>
      </c>
      <c r="H70" s="16">
        <v>2.9156771899999998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(3210/B72*100)</f>
        <v>82.540498842890202</v>
      </c>
      <c r="D72" s="15">
        <v>679</v>
      </c>
      <c r="E72" s="14">
        <v>56.436136179999998</v>
      </c>
      <c r="F72" s="16">
        <v>1.9830398600000001</v>
      </c>
      <c r="G72" s="14">
        <v>43.563863820000002</v>
      </c>
      <c r="H72" s="16">
        <v>1.9830398600000001</v>
      </c>
      <c r="I72" s="14" t="s">
        <v>139</v>
      </c>
      <c r="J72" s="16" t="s">
        <v>139</v>
      </c>
      <c r="K72" s="14">
        <v>0</v>
      </c>
      <c r="L72" s="16">
        <v>0</v>
      </c>
      <c r="M72" s="14">
        <v>0</v>
      </c>
      <c r="N72" s="16">
        <v>0</v>
      </c>
      <c r="O72" s="14">
        <v>0</v>
      </c>
      <c r="P72" s="16">
        <v>0</v>
      </c>
      <c r="Q72" s="14">
        <v>0</v>
      </c>
      <c r="R72" s="16">
        <v>0</v>
      </c>
    </row>
    <row r="73" spans="1:18" x14ac:dyDescent="0.25">
      <c r="A73" s="11" t="s">
        <v>206</v>
      </c>
      <c r="B73" s="13">
        <v>3597</v>
      </c>
      <c r="C73" s="14">
        <f>(3003/B73*100)</f>
        <v>83.486238532110093</v>
      </c>
      <c r="D73" s="15">
        <v>594</v>
      </c>
      <c r="E73" s="14">
        <v>75.096907419999994</v>
      </c>
      <c r="F73" s="16">
        <v>2.2187535299999999</v>
      </c>
      <c r="G73" s="14">
        <v>24.903092579999999</v>
      </c>
      <c r="H73" s="16">
        <v>2.2187535299999999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(2046/B75*100)</f>
        <v>85.037406483790519</v>
      </c>
      <c r="D75" s="15">
        <v>360</v>
      </c>
      <c r="E75" s="14">
        <v>72.608277409999999</v>
      </c>
      <c r="F75" s="16">
        <v>2.4042393799999999</v>
      </c>
      <c r="G75" s="14">
        <v>27.391722590000001</v>
      </c>
      <c r="H75" s="16">
        <v>2.4042393799999999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(5868/B76*100)</f>
        <v>83.210436755530353</v>
      </c>
      <c r="D76" s="15">
        <v>1184</v>
      </c>
      <c r="E76" s="14">
        <v>69.653179339999994</v>
      </c>
      <c r="F76" s="16">
        <v>1.75234684</v>
      </c>
      <c r="G76" s="14">
        <v>30.346820659999999</v>
      </c>
      <c r="H76" s="16">
        <v>1.75234684</v>
      </c>
      <c r="I76" s="14" t="s">
        <v>139</v>
      </c>
      <c r="J76" s="16" t="s">
        <v>139</v>
      </c>
      <c r="K76" s="14">
        <v>0</v>
      </c>
      <c r="L76" s="16">
        <v>0</v>
      </c>
      <c r="M76" s="14">
        <v>0</v>
      </c>
      <c r="N76" s="16">
        <v>0</v>
      </c>
      <c r="O76" s="14">
        <v>0</v>
      </c>
      <c r="P76" s="16">
        <v>0</v>
      </c>
      <c r="Q76" s="14">
        <v>0</v>
      </c>
      <c r="R76" s="16">
        <v>0</v>
      </c>
    </row>
    <row r="77" spans="1:18" x14ac:dyDescent="0.25">
      <c r="A77" s="11" t="s">
        <v>210</v>
      </c>
      <c r="B77" s="13">
        <v>2908</v>
      </c>
      <c r="C77" s="14">
        <f>(2466/B77*100)</f>
        <v>84.800550206327372</v>
      </c>
      <c r="D77" s="15">
        <v>442</v>
      </c>
      <c r="E77" s="14">
        <v>67.206123050000002</v>
      </c>
      <c r="F77" s="16">
        <v>2.2162843400000001</v>
      </c>
      <c r="G77" s="14">
        <v>32.793876949999998</v>
      </c>
      <c r="H77" s="16">
        <v>2.2162843400000001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(3457/B81*100)</f>
        <v>83.041076147009363</v>
      </c>
      <c r="D81" s="15">
        <v>706</v>
      </c>
      <c r="E81" s="14">
        <v>68.821921709999998</v>
      </c>
      <c r="F81" s="16">
        <v>2.3810253100000001</v>
      </c>
      <c r="G81" s="14">
        <v>31.178078289999998</v>
      </c>
      <c r="H81" s="16">
        <v>2.3810253100000001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(6194/B7*100)</f>
        <v>84.077643545540923</v>
      </c>
      <c r="D7" s="15">
        <v>1173</v>
      </c>
      <c r="E7" s="14">
        <v>43.87697533</v>
      </c>
      <c r="F7" s="16">
        <v>1.8908312599999999</v>
      </c>
      <c r="G7" s="14">
        <v>56.12302467</v>
      </c>
      <c r="H7" s="16">
        <v>1.8908312599999999</v>
      </c>
      <c r="I7" s="14" t="s">
        <v>139</v>
      </c>
      <c r="J7" s="16" t="s">
        <v>139</v>
      </c>
      <c r="K7" s="14">
        <v>0</v>
      </c>
      <c r="L7" s="16">
        <v>0</v>
      </c>
      <c r="M7" s="14">
        <v>0</v>
      </c>
      <c r="N7" s="16">
        <v>0</v>
      </c>
      <c r="O7" s="14">
        <v>0</v>
      </c>
      <c r="P7" s="16">
        <v>0</v>
      </c>
      <c r="Q7" s="14">
        <v>0</v>
      </c>
      <c r="R7" s="16">
        <v>0</v>
      </c>
    </row>
    <row r="8" spans="1:18" x14ac:dyDescent="0.25">
      <c r="A8" s="11" t="s">
        <v>140</v>
      </c>
      <c r="B8" s="13">
        <v>3564</v>
      </c>
      <c r="C8" s="14">
        <f>(2968/B8*100)</f>
        <v>83.277216610549942</v>
      </c>
      <c r="D8" s="15">
        <v>596</v>
      </c>
      <c r="E8" s="14">
        <v>49.879142979999997</v>
      </c>
      <c r="F8" s="16">
        <v>2.7614632499999998</v>
      </c>
      <c r="G8" s="14">
        <v>50.120857020000003</v>
      </c>
      <c r="H8" s="16">
        <v>2.7614632499999998</v>
      </c>
      <c r="I8" s="14" t="s">
        <v>139</v>
      </c>
      <c r="J8" s="16" t="s">
        <v>139</v>
      </c>
      <c r="K8" s="14">
        <v>0</v>
      </c>
      <c r="L8" s="16">
        <v>0</v>
      </c>
      <c r="M8" s="14">
        <v>0</v>
      </c>
      <c r="N8" s="16">
        <v>0</v>
      </c>
      <c r="O8" s="14">
        <v>0</v>
      </c>
      <c r="P8" s="16">
        <v>0</v>
      </c>
      <c r="Q8" s="14">
        <v>0</v>
      </c>
      <c r="R8" s="16">
        <v>0</v>
      </c>
    </row>
    <row r="9" spans="1:18" x14ac:dyDescent="0.25">
      <c r="A9" s="11" t="s">
        <v>141</v>
      </c>
      <c r="B9" s="13">
        <v>4899</v>
      </c>
      <c r="C9" s="14">
        <f>(4133/B9*100)</f>
        <v>84.364155950193918</v>
      </c>
      <c r="D9" s="15">
        <v>766</v>
      </c>
      <c r="E9" s="14">
        <v>50.329370060000002</v>
      </c>
      <c r="F9" s="16">
        <v>1.55715805</v>
      </c>
      <c r="G9" s="14">
        <v>49.670629939999998</v>
      </c>
      <c r="H9" s="16">
        <v>1.55715805</v>
      </c>
      <c r="I9" s="14" t="s">
        <v>139</v>
      </c>
      <c r="J9" s="16" t="s">
        <v>139</v>
      </c>
      <c r="K9" s="14">
        <v>0</v>
      </c>
      <c r="L9" s="16">
        <v>0</v>
      </c>
      <c r="M9" s="14">
        <v>0</v>
      </c>
      <c r="N9" s="16">
        <v>0</v>
      </c>
      <c r="O9" s="14">
        <v>0</v>
      </c>
      <c r="P9" s="16">
        <v>0</v>
      </c>
      <c r="Q9" s="14">
        <v>0</v>
      </c>
      <c r="R9" s="16">
        <v>0</v>
      </c>
    </row>
    <row r="10" spans="1:18" x14ac:dyDescent="0.25">
      <c r="A10" s="11" t="s">
        <v>142</v>
      </c>
      <c r="B10" s="13">
        <v>10036</v>
      </c>
      <c r="C10" s="14">
        <f>(8378/B10*100)</f>
        <v>83.479473893981677</v>
      </c>
      <c r="D10" s="15">
        <v>1658</v>
      </c>
      <c r="E10" s="14">
        <v>43.35164855</v>
      </c>
      <c r="F10" s="16">
        <v>1.7061405300000001</v>
      </c>
      <c r="G10" s="14">
        <v>56.64835145</v>
      </c>
      <c r="H10" s="16">
        <v>1.7061405300000001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(2994/B11*100)</f>
        <v>84.266816774556702</v>
      </c>
      <c r="D11" s="15">
        <v>559</v>
      </c>
      <c r="E11" s="14">
        <v>64.592379809999997</v>
      </c>
      <c r="F11" s="16">
        <v>2.45954425</v>
      </c>
      <c r="G11" s="14">
        <v>35.407620190000003</v>
      </c>
      <c r="H11" s="16">
        <v>2.45954425</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(2877/B12*100)</f>
        <v>82.862903225806448</v>
      </c>
      <c r="D12" s="15">
        <v>595</v>
      </c>
      <c r="E12" s="14">
        <v>68.853533609999999</v>
      </c>
      <c r="F12" s="16">
        <v>2.1510818500000002</v>
      </c>
      <c r="G12" s="14">
        <v>31.146466390000001</v>
      </c>
      <c r="H12" s="16">
        <v>2.1510818500000002</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45.433841940000001</v>
      </c>
      <c r="F13" s="16">
        <v>2.6939118999999998</v>
      </c>
      <c r="G13" s="14">
        <v>54.566158059999999</v>
      </c>
      <c r="H13" s="16">
        <v>2.6939118999999998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(2330/B14*100)</f>
        <v>83.244015719899963</v>
      </c>
      <c r="D14" s="15">
        <v>469</v>
      </c>
      <c r="E14" s="14">
        <v>41.113996530000001</v>
      </c>
      <c r="F14" s="16">
        <v>2.1481407699999999</v>
      </c>
      <c r="G14" s="14">
        <v>58.886003469999999</v>
      </c>
      <c r="H14" s="16">
        <v>2.1481407699999999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(2518/B15*100)</f>
        <v>83.405101026830081</v>
      </c>
      <c r="D15" s="15">
        <v>501</v>
      </c>
      <c r="E15" s="14">
        <v>42.00653269</v>
      </c>
      <c r="F15" s="16">
        <v>2.5818172800000001</v>
      </c>
      <c r="G15" s="14">
        <v>57.99346731</v>
      </c>
      <c r="H15" s="16">
        <v>2.5818172800000001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(2533/B16*100)</f>
        <v>84.517851184517852</v>
      </c>
      <c r="D16" s="15">
        <v>464</v>
      </c>
      <c r="E16" s="14">
        <v>58.60141582</v>
      </c>
      <c r="F16" s="16">
        <v>2.1945301100000001</v>
      </c>
      <c r="G16" s="14">
        <v>41.39858418</v>
      </c>
      <c r="H16" s="16">
        <v>2.1945301100000001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(2815/B17*100)</f>
        <v>85.122467493196254</v>
      </c>
      <c r="D17" s="15">
        <v>492</v>
      </c>
      <c r="E17" s="14">
        <v>52.765512889999997</v>
      </c>
      <c r="F17" s="16">
        <v>2.3469500499999998</v>
      </c>
      <c r="G17" s="14">
        <v>47.234487110000003</v>
      </c>
      <c r="H17" s="16">
        <v>2.3469500499999998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(2356/B18*100)</f>
        <v>83.368719037508839</v>
      </c>
      <c r="D18" s="15">
        <v>470</v>
      </c>
      <c r="E18" s="14">
        <v>66.853859299999996</v>
      </c>
      <c r="F18" s="16">
        <v>2.3777706300000001</v>
      </c>
      <c r="G18" s="14">
        <v>33.146140699999997</v>
      </c>
      <c r="H18" s="16">
        <v>2.3777706300000001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(2359/B19*100)</f>
        <v>84.009971509971521</v>
      </c>
      <c r="D19" s="15">
        <v>449</v>
      </c>
      <c r="E19" s="14">
        <v>61.273654720000003</v>
      </c>
      <c r="F19" s="16">
        <v>2.6723211400000002</v>
      </c>
      <c r="G19" s="14">
        <v>38.726345279999997</v>
      </c>
      <c r="H19" s="16">
        <v>2.6723211400000002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(1370/B20*100)</f>
        <v>84.049079754601223</v>
      </c>
      <c r="D20" s="15">
        <v>260</v>
      </c>
      <c r="E20" s="14">
        <v>57.402263609999999</v>
      </c>
      <c r="F20" s="16">
        <v>2.99640715</v>
      </c>
      <c r="G20" s="14">
        <v>42.597736390000001</v>
      </c>
      <c r="H20" s="16">
        <v>2.99640715</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(2460/B22*100)</f>
        <v>83.930399181166834</v>
      </c>
      <c r="D22" s="15">
        <v>471</v>
      </c>
      <c r="E22" s="14">
        <v>68.197360750000001</v>
      </c>
      <c r="F22" s="16">
        <v>2.53089896</v>
      </c>
      <c r="G22" s="14">
        <v>31.802639249999999</v>
      </c>
      <c r="H22" s="16">
        <v>2.53089896</v>
      </c>
      <c r="I22" s="14" t="s">
        <v>139</v>
      </c>
      <c r="J22" s="16" t="s">
        <v>139</v>
      </c>
      <c r="K22" s="14">
        <v>0</v>
      </c>
      <c r="L22" s="16">
        <v>0</v>
      </c>
      <c r="M22" s="14">
        <v>0</v>
      </c>
      <c r="N22" s="16">
        <v>0</v>
      </c>
      <c r="O22" s="14">
        <v>0</v>
      </c>
      <c r="P22" s="16">
        <v>0</v>
      </c>
      <c r="Q22" s="14">
        <v>0</v>
      </c>
      <c r="R22" s="16">
        <v>0</v>
      </c>
    </row>
    <row r="23" spans="1:18" x14ac:dyDescent="0.25">
      <c r="A23" s="11" t="s">
        <v>156</v>
      </c>
      <c r="B23" s="13">
        <v>5791</v>
      </c>
      <c r="C23" s="14">
        <f>(4825/B23*100)</f>
        <v>83.318943187705059</v>
      </c>
      <c r="D23" s="15">
        <v>966</v>
      </c>
      <c r="E23" s="14">
        <v>57.23729865</v>
      </c>
      <c r="F23" s="16">
        <v>1.8223977600000001</v>
      </c>
      <c r="G23" s="14">
        <v>42.76270135</v>
      </c>
      <c r="H23" s="16">
        <v>1.8223977600000001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(2784/B24*100)</f>
        <v>83.403235470341514</v>
      </c>
      <c r="D24" s="15">
        <v>554</v>
      </c>
      <c r="E24" s="14">
        <v>30.260364259999999</v>
      </c>
      <c r="F24" s="16">
        <v>2.4333152999999998</v>
      </c>
      <c r="G24" s="14">
        <v>69.739635739999997</v>
      </c>
      <c r="H24" s="16">
        <v>2.4333152999999998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56.390389810000002</v>
      </c>
      <c r="F25" s="16">
        <v>2.5849118299999998</v>
      </c>
      <c r="G25" s="14">
        <v>43.609610189999998</v>
      </c>
      <c r="H25" s="16">
        <v>2.5849118299999998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(2051/B26*100)</f>
        <v>83.714285714285722</v>
      </c>
      <c r="D26" s="15">
        <v>399</v>
      </c>
      <c r="E26" s="14">
        <v>60.038584129999997</v>
      </c>
      <c r="F26" s="16">
        <v>2.57003213</v>
      </c>
      <c r="G26" s="14">
        <v>39.961415870000003</v>
      </c>
      <c r="H26" s="16">
        <v>2.57003213</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(2200/B27*100)</f>
        <v>84.097859327217122</v>
      </c>
      <c r="D27" s="15">
        <v>416</v>
      </c>
      <c r="E27" s="14">
        <v>57.322375440000002</v>
      </c>
      <c r="F27" s="16">
        <v>2.3797654499999998</v>
      </c>
      <c r="G27" s="14">
        <v>42.677624559999998</v>
      </c>
      <c r="H27" s="16">
        <v>2.3797654499999998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(3204/B28*100)</f>
        <v>85.099601593625493</v>
      </c>
      <c r="D28" s="15">
        <v>561</v>
      </c>
      <c r="E28" s="14">
        <v>70.656391139999997</v>
      </c>
      <c r="F28" s="16">
        <v>1.73983987</v>
      </c>
      <c r="G28" s="14">
        <v>29.34360886</v>
      </c>
      <c r="H28" s="16">
        <v>1.73983987</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36.725848220000003</v>
      </c>
      <c r="F29" s="16">
        <v>2.2638896599999998</v>
      </c>
      <c r="G29" s="14">
        <v>63.274151779999997</v>
      </c>
      <c r="H29" s="16">
        <v>2.2638896599999998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(1903/B30*100)</f>
        <v>84.091913389306228</v>
      </c>
      <c r="D30" s="15">
        <v>360</v>
      </c>
      <c r="E30" s="14">
        <v>40.994209050000002</v>
      </c>
      <c r="F30" s="16">
        <v>2.6700930999999999</v>
      </c>
      <c r="G30" s="14">
        <v>59.005790949999998</v>
      </c>
      <c r="H30" s="16">
        <v>2.6700930999999999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(2312/B31*100)</f>
        <v>84.072727272727278</v>
      </c>
      <c r="D31" s="15">
        <v>438</v>
      </c>
      <c r="E31" s="14">
        <v>58.693111020000003</v>
      </c>
      <c r="F31" s="16">
        <v>2.51424417</v>
      </c>
      <c r="G31" s="14">
        <v>41.306888979999997</v>
      </c>
      <c r="H31" s="16">
        <v>2.51424417</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(3086/B33*100)</f>
        <v>83.995645073489385</v>
      </c>
      <c r="D33" s="15">
        <v>588</v>
      </c>
      <c r="E33" s="14">
        <v>55.27195545</v>
      </c>
      <c r="F33" s="16">
        <v>2.3390560200000001</v>
      </c>
      <c r="G33" s="14">
        <v>44.72804455</v>
      </c>
      <c r="H33" s="16">
        <v>2.3390560200000001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(2803/B34*100)</f>
        <v>84.555052790346906</v>
      </c>
      <c r="D34" s="15">
        <v>512</v>
      </c>
      <c r="E34" s="14">
        <v>69.658958749999996</v>
      </c>
      <c r="F34" s="16">
        <v>1.98023156</v>
      </c>
      <c r="G34" s="14">
        <v>30.34104125</v>
      </c>
      <c r="H34" s="16">
        <v>1.98023156</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(2938/B35*100)</f>
        <v>83.823109843081312</v>
      </c>
      <c r="D35" s="15">
        <v>567</v>
      </c>
      <c r="E35" s="14">
        <v>70.353201010000006</v>
      </c>
      <c r="F35" s="16">
        <v>2.6735524599999998</v>
      </c>
      <c r="G35" s="14">
        <v>29.646798990000001</v>
      </c>
      <c r="H35" s="16">
        <v>2.6735524599999998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(2788/B36*100)</f>
        <v>83.673469387755105</v>
      </c>
      <c r="D36" s="15">
        <v>544</v>
      </c>
      <c r="E36" s="14">
        <v>58.589217560000002</v>
      </c>
      <c r="F36" s="16">
        <v>2.34168033</v>
      </c>
      <c r="G36" s="14">
        <v>41.410782439999998</v>
      </c>
      <c r="H36" s="16">
        <v>2.34168033</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(2309/B37*100)</f>
        <v>84.671800513384682</v>
      </c>
      <c r="D37" s="15">
        <v>418</v>
      </c>
      <c r="E37" s="14">
        <v>46.91030241</v>
      </c>
      <c r="F37" s="16">
        <v>2.4420169999999999</v>
      </c>
      <c r="G37" s="14">
        <v>53.08969759</v>
      </c>
      <c r="H37" s="16">
        <v>2.4420169999999999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83.154979049999994</v>
      </c>
      <c r="F39" s="16">
        <v>1.7628946400000001</v>
      </c>
      <c r="G39" s="14">
        <v>16.845020949999999</v>
      </c>
      <c r="H39" s="16">
        <v>1.7628946400000001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(6028/B40*100)</f>
        <v>83.317208016586036</v>
      </c>
      <c r="D40" s="15">
        <v>1207</v>
      </c>
      <c r="E40" s="14">
        <v>46.846512990000001</v>
      </c>
      <c r="F40" s="16">
        <v>2.2198340299999999</v>
      </c>
      <c r="G40" s="14">
        <v>53.153487009999999</v>
      </c>
      <c r="H40" s="16">
        <v>2.2198340299999999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(2399/B41*100)</f>
        <v>83.939818054583625</v>
      </c>
      <c r="D41" s="15">
        <v>459</v>
      </c>
      <c r="E41" s="14">
        <v>45.251152509999997</v>
      </c>
      <c r="F41" s="16">
        <v>2.9450529900000002</v>
      </c>
      <c r="G41" s="14">
        <v>54.748847490000003</v>
      </c>
      <c r="H41" s="16">
        <v>2.9450529900000002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83.857789826805245</v>
      </c>
      <c r="D42" s="15">
        <f>IF(COUNT(D7:D41) &gt; 0, AVERAGE(D7:D41), "—")</f>
        <v>590.9375</v>
      </c>
      <c r="E42" s="14">
        <f>IF(COUNT(E7:E41) &gt; 0, AVERAGE(E7:E41), "—")</f>
        <v>54.965198126250002</v>
      </c>
      <c r="F42" s="16">
        <f>IF(COUNT(F7:F41) &gt; 0, SQRT(SUMSQ(F7:F41)/(COUNT(F7:F41)*COUNT(F7:F41)) ), "—")</f>
        <v>0.41779871600764562</v>
      </c>
      <c r="G42" s="14">
        <f>IF(COUNT(G7:G41) &gt; 0, AVERAGE(G7:G41), "—")</f>
        <v>45.034801873749998</v>
      </c>
      <c r="H42" s="16">
        <f>IF(COUNT(H7:H41) &gt; 0, SQRT(SUMSQ(H7:H41)/(COUNT(H7:H41)*COUNT(H7:H41)) ), "—")</f>
        <v>0.41779871600764562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(9799/B46*100)</f>
        <v>88.534513913986274</v>
      </c>
      <c r="D46" s="15">
        <v>1269</v>
      </c>
      <c r="E46" s="14">
        <v>79.684232589999993</v>
      </c>
      <c r="F46" s="16">
        <v>1.5451850899999999</v>
      </c>
      <c r="G46" s="14">
        <v>20.315767409999999</v>
      </c>
      <c r="H46" s="16">
        <v>1.5451850899999999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(2632/B47*100)</f>
        <v>84.76650563607086</v>
      </c>
      <c r="D47" s="15">
        <v>473</v>
      </c>
      <c r="E47" s="14">
        <v>67.963881430000001</v>
      </c>
      <c r="F47" s="16">
        <v>2.6111738199999999</v>
      </c>
      <c r="G47" s="14">
        <v>32.036118569999999</v>
      </c>
      <c r="H47" s="16">
        <v>2.6111738199999999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(4298/B48*100)</f>
        <v>83.310719131614647</v>
      </c>
      <c r="D48" s="15">
        <v>861</v>
      </c>
      <c r="E48" s="14">
        <v>65.991783190000007</v>
      </c>
      <c r="F48" s="16">
        <v>2.2226970599999998</v>
      </c>
      <c r="G48" s="14">
        <v>34.00821681</v>
      </c>
      <c r="H48" s="16">
        <v>2.2226970599999998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(4744/B50*100)</f>
        <v>84.158240198687238</v>
      </c>
      <c r="D50" s="15">
        <v>893</v>
      </c>
      <c r="E50" s="14">
        <v>73.572782680000003</v>
      </c>
      <c r="F50" s="16">
        <v>1.92529018</v>
      </c>
      <c r="G50" s="14">
        <v>26.42721732</v>
      </c>
      <c r="H50" s="16">
        <v>1.92529018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(2890/B51*100)</f>
        <v>85.705812574139969</v>
      </c>
      <c r="D51" s="15">
        <v>482</v>
      </c>
      <c r="E51" s="14">
        <v>69.905372200000002</v>
      </c>
      <c r="F51" s="16">
        <v>1.9925545</v>
      </c>
      <c r="G51" s="14">
        <v>30.094627800000001</v>
      </c>
      <c r="H51" s="16">
        <v>1.9925545</v>
      </c>
      <c r="I51" s="14" t="s">
        <v>139</v>
      </c>
      <c r="J51" s="16" t="s">
        <v>139</v>
      </c>
      <c r="K51" s="14">
        <v>0</v>
      </c>
      <c r="L51" s="16">
        <v>0</v>
      </c>
      <c r="M51" s="14">
        <v>0</v>
      </c>
      <c r="N51" s="16">
        <v>0</v>
      </c>
      <c r="O51" s="14">
        <v>0</v>
      </c>
      <c r="P51" s="16">
        <v>0</v>
      </c>
      <c r="Q51" s="14">
        <v>0</v>
      </c>
      <c r="R51" s="16">
        <v>0</v>
      </c>
    </row>
    <row r="52" spans="1:18" x14ac:dyDescent="0.25">
      <c r="A52" s="11" t="s">
        <v>185</v>
      </c>
      <c r="B52" s="13">
        <v>2796</v>
      </c>
      <c r="C52" s="14">
        <f>(2357/B52*100)</f>
        <v>84.298998569384835</v>
      </c>
      <c r="D52" s="15">
        <v>439</v>
      </c>
      <c r="E52" s="14">
        <v>76.436305070000003</v>
      </c>
      <c r="F52" s="16">
        <v>2.3712110100000001</v>
      </c>
      <c r="G52" s="14">
        <v>23.56369493</v>
      </c>
      <c r="H52" s="16">
        <v>2.3712110100000001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(2360/B53*100)</f>
        <v>83.955887584489503</v>
      </c>
      <c r="D53" s="15">
        <v>451</v>
      </c>
      <c r="E53" s="14">
        <v>64.789452560000001</v>
      </c>
      <c r="F53" s="16">
        <v>2.3126706399999999</v>
      </c>
      <c r="G53" s="14">
        <v>35.210547439999999</v>
      </c>
      <c r="H53" s="16">
        <v>2.3126706399999999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(2248/B56*100)</f>
        <v>83.75558867362146</v>
      </c>
      <c r="D56" s="15">
        <v>436</v>
      </c>
      <c r="E56" s="14">
        <v>58.255490979999998</v>
      </c>
      <c r="F56" s="16">
        <v>2.82793012</v>
      </c>
      <c r="G56" s="14">
        <v>41.744509020000002</v>
      </c>
      <c r="H56" s="16">
        <v>2.82793012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(2800/B61*100)</f>
        <v>84.235860409145616</v>
      </c>
      <c r="D61" s="15">
        <v>524</v>
      </c>
      <c r="E61" s="14">
        <v>73.330435089999995</v>
      </c>
      <c r="F61" s="16">
        <v>2.2974257900000001</v>
      </c>
      <c r="G61" s="14">
        <v>26.669564909999998</v>
      </c>
      <c r="H61" s="16">
        <v>2.2974257900000001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(1857/B62*100)</f>
        <v>82.680320569902051</v>
      </c>
      <c r="D62" s="15">
        <v>389</v>
      </c>
      <c r="E62" s="14">
        <v>55.068988849999997</v>
      </c>
      <c r="F62" s="16">
        <v>2.1921537299999998</v>
      </c>
      <c r="G62" s="14">
        <v>44.931011150000003</v>
      </c>
      <c r="H62" s="16">
        <v>2.1921537299999998</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(2461/B66*100)</f>
        <v>85.038009675190054</v>
      </c>
      <c r="D66" s="15">
        <v>433</v>
      </c>
      <c r="E66" s="14">
        <v>76.843786859999994</v>
      </c>
      <c r="F66" s="16">
        <v>1.7915206299999999</v>
      </c>
      <c r="G66" s="14">
        <v>23.156213139999998</v>
      </c>
      <c r="H66" s="16">
        <v>1.7915206299999999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(3020/B67*100)</f>
        <v>86.015380233551696</v>
      </c>
      <c r="D67" s="15">
        <v>491</v>
      </c>
      <c r="E67" s="14">
        <v>81.662888649999999</v>
      </c>
      <c r="F67" s="16">
        <v>2.1725551099999998</v>
      </c>
      <c r="G67" s="14">
        <v>18.337111350000001</v>
      </c>
      <c r="H67" s="16">
        <v>2.1725551099999998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(2460/B70*100)</f>
        <v>83.987709115739165</v>
      </c>
      <c r="D70" s="15">
        <v>469</v>
      </c>
      <c r="E70" s="14">
        <v>66.417435100000006</v>
      </c>
      <c r="F70" s="16">
        <v>2.7708795300000002</v>
      </c>
      <c r="G70" s="14">
        <v>33.582564900000001</v>
      </c>
      <c r="H70" s="16">
        <v>2.7708795300000002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(3214/B72*100)</f>
        <v>82.643353047055797</v>
      </c>
      <c r="D72" s="15">
        <v>675</v>
      </c>
      <c r="E72" s="14">
        <v>55.675435399999998</v>
      </c>
      <c r="F72" s="16">
        <v>2.2535813999999998</v>
      </c>
      <c r="G72" s="14">
        <v>44.324564600000002</v>
      </c>
      <c r="H72" s="16">
        <v>2.2535813999999998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75.437796460000001</v>
      </c>
      <c r="F73" s="16">
        <v>2.1452186499999999</v>
      </c>
      <c r="G73" s="14">
        <v>24.562203539999999</v>
      </c>
      <c r="H73" s="16">
        <v>2.1452186499999999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(2058/B75*100)</f>
        <v>85.536159600997507</v>
      </c>
      <c r="D75" s="15">
        <v>348</v>
      </c>
      <c r="E75" s="14">
        <v>77.586544309999994</v>
      </c>
      <c r="F75" s="16">
        <v>2.62386103</v>
      </c>
      <c r="G75" s="14">
        <v>22.413455689999999</v>
      </c>
      <c r="H75" s="16">
        <v>2.62386103</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(5875/B76*100)</f>
        <v>83.309699376063534</v>
      </c>
      <c r="D76" s="15">
        <v>1177</v>
      </c>
      <c r="E76" s="14">
        <v>73.929678719999998</v>
      </c>
      <c r="F76" s="16">
        <v>1.48912019</v>
      </c>
      <c r="G76" s="14">
        <v>26.070321280000002</v>
      </c>
      <c r="H76" s="16">
        <v>1.48912019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(2486/B77*100)</f>
        <v>85.488308115543333</v>
      </c>
      <c r="D77" s="15">
        <v>422</v>
      </c>
      <c r="E77" s="14">
        <v>74.83789908</v>
      </c>
      <c r="F77" s="16">
        <v>2.5429732</v>
      </c>
      <c r="G77" s="14">
        <v>25.16210092</v>
      </c>
      <c r="H77" s="16">
        <v>2.5429732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65.593636540000006</v>
      </c>
      <c r="F81" s="16">
        <v>2.3526818199999999</v>
      </c>
      <c r="G81" s="14">
        <v>34.406363460000001</v>
      </c>
      <c r="H81" s="16">
        <v>2.3526818199999999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(6194/B7*100)</f>
        <v>84.077643545540923</v>
      </c>
      <c r="D7" s="15">
        <v>1173</v>
      </c>
      <c r="E7" s="14">
        <v>27.870185549999999</v>
      </c>
      <c r="F7" s="16">
        <v>1.72366467</v>
      </c>
      <c r="G7" s="14">
        <v>72.129814449999998</v>
      </c>
      <c r="H7" s="16">
        <v>1.72366467</v>
      </c>
      <c r="I7" s="14" t="s">
        <v>139</v>
      </c>
      <c r="J7" s="16" t="s">
        <v>139</v>
      </c>
      <c r="K7" s="14">
        <v>0</v>
      </c>
      <c r="L7" s="16">
        <v>0</v>
      </c>
      <c r="M7" s="14">
        <v>0</v>
      </c>
      <c r="N7" s="16">
        <v>0</v>
      </c>
      <c r="O7" s="14">
        <v>0</v>
      </c>
      <c r="P7" s="16">
        <v>0</v>
      </c>
      <c r="Q7" s="14">
        <v>0</v>
      </c>
      <c r="R7" s="16">
        <v>0</v>
      </c>
    </row>
    <row r="8" spans="1:18" x14ac:dyDescent="0.25">
      <c r="A8" s="11" t="s">
        <v>140</v>
      </c>
      <c r="B8" s="13">
        <v>3564</v>
      </c>
      <c r="C8" s="14">
        <f>(2968/B8*100)</f>
        <v>83.277216610549942</v>
      </c>
      <c r="D8" s="15">
        <v>596</v>
      </c>
      <c r="E8" s="14">
        <v>25.511963089999998</v>
      </c>
      <c r="F8" s="16">
        <v>2.0365212000000001</v>
      </c>
      <c r="G8" s="14">
        <v>74.488036910000005</v>
      </c>
      <c r="H8" s="16">
        <v>2.0365212000000001</v>
      </c>
      <c r="I8" s="14" t="s">
        <v>139</v>
      </c>
      <c r="J8" s="16" t="s">
        <v>139</v>
      </c>
      <c r="K8" s="14">
        <v>0</v>
      </c>
      <c r="L8" s="16">
        <v>0</v>
      </c>
      <c r="M8" s="14">
        <v>0</v>
      </c>
      <c r="N8" s="16">
        <v>0</v>
      </c>
      <c r="O8" s="14">
        <v>0</v>
      </c>
      <c r="P8" s="16">
        <v>0</v>
      </c>
      <c r="Q8" s="14">
        <v>0</v>
      </c>
      <c r="R8" s="16">
        <v>0</v>
      </c>
    </row>
    <row r="9" spans="1:18" x14ac:dyDescent="0.25">
      <c r="A9" s="11" t="s">
        <v>141</v>
      </c>
      <c r="B9" s="13">
        <v>4899</v>
      </c>
      <c r="C9" s="14">
        <f>(4133/B9*100)</f>
        <v>84.364155950193918</v>
      </c>
      <c r="D9" s="15">
        <v>766</v>
      </c>
      <c r="E9" s="14">
        <v>27.119410999999999</v>
      </c>
      <c r="F9" s="16">
        <v>1.5406885100000001</v>
      </c>
      <c r="G9" s="14">
        <v>72.880589000000001</v>
      </c>
      <c r="H9" s="16">
        <v>1.5406885100000001</v>
      </c>
      <c r="I9" s="14" t="s">
        <v>139</v>
      </c>
      <c r="J9" s="16" t="s">
        <v>139</v>
      </c>
      <c r="K9" s="14">
        <v>0</v>
      </c>
      <c r="L9" s="16">
        <v>0</v>
      </c>
      <c r="M9" s="14">
        <v>0</v>
      </c>
      <c r="N9" s="16">
        <v>0</v>
      </c>
      <c r="O9" s="14">
        <v>0</v>
      </c>
      <c r="P9" s="16">
        <v>0</v>
      </c>
      <c r="Q9" s="14">
        <v>0</v>
      </c>
      <c r="R9" s="16">
        <v>0</v>
      </c>
    </row>
    <row r="10" spans="1:18" x14ac:dyDescent="0.25">
      <c r="A10" s="11" t="s">
        <v>142</v>
      </c>
      <c r="B10" s="13">
        <v>10036</v>
      </c>
      <c r="C10" s="14">
        <f>(8378/B10*100)</f>
        <v>83.479473893981677</v>
      </c>
      <c r="D10" s="15">
        <v>1658</v>
      </c>
      <c r="E10" s="14">
        <v>26.205215849999998</v>
      </c>
      <c r="F10" s="16">
        <v>1.60689835</v>
      </c>
      <c r="G10" s="14">
        <v>73.794784149999998</v>
      </c>
      <c r="H10" s="16">
        <v>1.60689835</v>
      </c>
      <c r="I10" s="14" t="s">
        <v>139</v>
      </c>
      <c r="J10" s="16" t="s">
        <v>139</v>
      </c>
      <c r="K10" s="14">
        <v>0</v>
      </c>
      <c r="L10" s="16">
        <v>0</v>
      </c>
      <c r="M10" s="14">
        <v>0</v>
      </c>
      <c r="N10" s="16">
        <v>0</v>
      </c>
      <c r="O10" s="14">
        <v>0</v>
      </c>
      <c r="P10" s="16">
        <v>0</v>
      </c>
      <c r="Q10" s="14">
        <v>0</v>
      </c>
      <c r="R10" s="16">
        <v>0</v>
      </c>
    </row>
    <row r="11" spans="1:18" x14ac:dyDescent="0.25">
      <c r="A11" s="11" t="s">
        <v>143</v>
      </c>
      <c r="B11" s="13">
        <v>3553</v>
      </c>
      <c r="C11" s="14">
        <f>(2994/B11*100)</f>
        <v>84.266816774556702</v>
      </c>
      <c r="D11" s="15">
        <v>559</v>
      </c>
      <c r="E11" s="14">
        <v>29.278188369999999</v>
      </c>
      <c r="F11" s="16">
        <v>2.18972064</v>
      </c>
      <c r="G11" s="14">
        <v>70.721811630000005</v>
      </c>
      <c r="H11" s="16">
        <v>2.18972064</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(2877/B12*100)</f>
        <v>82.862903225806448</v>
      </c>
      <c r="D12" s="15">
        <v>595</v>
      </c>
      <c r="E12" s="14">
        <v>29.936408019999998</v>
      </c>
      <c r="F12" s="16">
        <v>1.97578878</v>
      </c>
      <c r="G12" s="14">
        <v>70.063591979999998</v>
      </c>
      <c r="H12" s="16">
        <v>1.97578878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23.143169619999998</v>
      </c>
      <c r="F13" s="16">
        <v>2.5204474600000002</v>
      </c>
      <c r="G13" s="14">
        <v>76.856830380000005</v>
      </c>
      <c r="H13" s="16">
        <v>2.5204474600000002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(2330/B14*100)</f>
        <v>83.244015719899963</v>
      </c>
      <c r="D14" s="15">
        <v>469</v>
      </c>
      <c r="E14" s="14">
        <v>16.65276377</v>
      </c>
      <c r="F14" s="16">
        <v>1.81835199</v>
      </c>
      <c r="G14" s="14">
        <v>83.347236229999993</v>
      </c>
      <c r="H14" s="16">
        <v>1.81835199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(2518/B15*100)</f>
        <v>83.405101026830081</v>
      </c>
      <c r="D15" s="15">
        <v>501</v>
      </c>
      <c r="E15" s="14">
        <v>26.226734149999999</v>
      </c>
      <c r="F15" s="16">
        <v>2.1725543900000002</v>
      </c>
      <c r="G15" s="14">
        <v>73.773265850000001</v>
      </c>
      <c r="H15" s="16">
        <v>2.1725543900000002</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(2533/B16*100)</f>
        <v>84.517851184517852</v>
      </c>
      <c r="D16" s="15">
        <v>464</v>
      </c>
      <c r="E16" s="14">
        <v>30.28188244</v>
      </c>
      <c r="F16" s="16">
        <v>2.2960574899999999</v>
      </c>
      <c r="G16" s="14">
        <v>69.718117559999996</v>
      </c>
      <c r="H16" s="16">
        <v>2.2960574899999999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(2815/B17*100)</f>
        <v>85.122467493196254</v>
      </c>
      <c r="D17" s="15">
        <v>492</v>
      </c>
      <c r="E17" s="14">
        <v>21.479191570000001</v>
      </c>
      <c r="F17" s="16">
        <v>2.12954804</v>
      </c>
      <c r="G17" s="14">
        <v>78.520808430000002</v>
      </c>
      <c r="H17" s="16">
        <v>2.12954804</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(2356/B18*100)</f>
        <v>83.368719037508839</v>
      </c>
      <c r="D18" s="15">
        <v>470</v>
      </c>
      <c r="E18" s="14">
        <v>26.62443038</v>
      </c>
      <c r="F18" s="16">
        <v>2.4732957199999999</v>
      </c>
      <c r="G18" s="14">
        <v>73.375569619999993</v>
      </c>
      <c r="H18" s="16">
        <v>2.4732957199999999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(2359/B19*100)</f>
        <v>84.009971509971521</v>
      </c>
      <c r="D19" s="15">
        <v>449</v>
      </c>
      <c r="E19" s="14">
        <v>27.858086790000002</v>
      </c>
      <c r="F19" s="16">
        <v>1.8699953600000001</v>
      </c>
      <c r="G19" s="14">
        <v>72.141913209999998</v>
      </c>
      <c r="H19" s="16">
        <v>1.8699953600000001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(1370/B20*100)</f>
        <v>84.049079754601223</v>
      </c>
      <c r="D20" s="15">
        <v>260</v>
      </c>
      <c r="E20" s="14">
        <v>24.577219830000001</v>
      </c>
      <c r="F20" s="16">
        <v>2.5338420300000002</v>
      </c>
      <c r="G20" s="14">
        <v>75.422780169999996</v>
      </c>
      <c r="H20" s="16">
        <v>2.5338420300000002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(2460/B22*100)</f>
        <v>83.930399181166834</v>
      </c>
      <c r="D22" s="15">
        <v>471</v>
      </c>
      <c r="E22" s="14">
        <v>29.142897749999999</v>
      </c>
      <c r="F22" s="16">
        <v>2.05308365</v>
      </c>
      <c r="G22" s="14">
        <v>70.857102249999997</v>
      </c>
      <c r="H22" s="16">
        <v>2.05308365</v>
      </c>
      <c r="I22" s="14" t="s">
        <v>139</v>
      </c>
      <c r="J22" s="16" t="s">
        <v>139</v>
      </c>
      <c r="K22" s="14">
        <v>0</v>
      </c>
      <c r="L22" s="16">
        <v>0</v>
      </c>
      <c r="M22" s="14">
        <v>0</v>
      </c>
      <c r="N22" s="16">
        <v>0</v>
      </c>
      <c r="O22" s="14">
        <v>0</v>
      </c>
      <c r="P22" s="16">
        <v>0</v>
      </c>
      <c r="Q22" s="14">
        <v>0</v>
      </c>
      <c r="R22" s="16">
        <v>0</v>
      </c>
    </row>
    <row r="23" spans="1:18" x14ac:dyDescent="0.25">
      <c r="A23" s="11" t="s">
        <v>156</v>
      </c>
      <c r="B23" s="13">
        <v>5791</v>
      </c>
      <c r="C23" s="14">
        <f>(4825/B23*100)</f>
        <v>83.318943187705059</v>
      </c>
      <c r="D23" s="15">
        <v>966</v>
      </c>
      <c r="E23" s="14">
        <v>26.642679080000001</v>
      </c>
      <c r="F23" s="16">
        <v>1.7273271800000001</v>
      </c>
      <c r="G23" s="14">
        <v>73.357320920000006</v>
      </c>
      <c r="H23" s="16">
        <v>1.7273271800000001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(2784/B24*100)</f>
        <v>83.403235470341514</v>
      </c>
      <c r="D24" s="15">
        <v>554</v>
      </c>
      <c r="E24" s="14">
        <v>24.424892839999998</v>
      </c>
      <c r="F24" s="16">
        <v>1.84673581</v>
      </c>
      <c r="G24" s="14">
        <v>75.575107160000002</v>
      </c>
      <c r="H24" s="16">
        <v>1.84673581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19.471942380000002</v>
      </c>
      <c r="F25" s="16">
        <v>1.7491868800000001</v>
      </c>
      <c r="G25" s="14">
        <v>80.528057619999998</v>
      </c>
      <c r="H25" s="16">
        <v>1.7491868800000001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(2051/B26*100)</f>
        <v>83.714285714285722</v>
      </c>
      <c r="D26" s="15">
        <v>399</v>
      </c>
      <c r="E26" s="14">
        <v>22.216470080000001</v>
      </c>
      <c r="F26" s="16">
        <v>2.1747418199999999</v>
      </c>
      <c r="G26" s="14">
        <v>77.783529920000007</v>
      </c>
      <c r="H26" s="16">
        <v>2.1747418199999999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(2200/B27*100)</f>
        <v>84.097859327217122</v>
      </c>
      <c r="D27" s="15">
        <v>416</v>
      </c>
      <c r="E27" s="14">
        <v>24.591079529999998</v>
      </c>
      <c r="F27" s="16">
        <v>2.1373225200000001</v>
      </c>
      <c r="G27" s="14">
        <v>75.408920469999998</v>
      </c>
      <c r="H27" s="16">
        <v>2.1373225200000001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(3204/B28*100)</f>
        <v>85.099601593625493</v>
      </c>
      <c r="D28" s="15">
        <v>561</v>
      </c>
      <c r="E28" s="14">
        <v>23.84562421</v>
      </c>
      <c r="F28" s="16">
        <v>1.9327897199999999</v>
      </c>
      <c r="G28" s="14">
        <v>76.154375790000003</v>
      </c>
      <c r="H28" s="16">
        <v>1.9327897199999999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31.350569190000002</v>
      </c>
      <c r="F29" s="16">
        <v>2.2837035700000001</v>
      </c>
      <c r="G29" s="14">
        <v>68.649430809999998</v>
      </c>
      <c r="H29" s="16">
        <v>2.2837035700000001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(1903/B30*100)</f>
        <v>84.091913389306228</v>
      </c>
      <c r="D30" s="15">
        <v>360</v>
      </c>
      <c r="E30" s="14">
        <v>27.944716230000001</v>
      </c>
      <c r="F30" s="16">
        <v>2.3406643100000002</v>
      </c>
      <c r="G30" s="14">
        <v>72.055283770000003</v>
      </c>
      <c r="H30" s="16">
        <v>2.3406643100000002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(2312/B31*100)</f>
        <v>84.072727272727278</v>
      </c>
      <c r="D31" s="15">
        <v>438</v>
      </c>
      <c r="E31" s="14">
        <v>21.044102219999999</v>
      </c>
      <c r="F31" s="16">
        <v>1.6864159299999999</v>
      </c>
      <c r="G31" s="14">
        <v>78.955897780000001</v>
      </c>
      <c r="H31" s="16">
        <v>1.6864159299999999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(3086/B33*100)</f>
        <v>83.995645073489385</v>
      </c>
      <c r="D33" s="15">
        <v>588</v>
      </c>
      <c r="E33" s="14">
        <v>24.642013370000001</v>
      </c>
      <c r="F33" s="16">
        <v>2.07505864</v>
      </c>
      <c r="G33" s="14">
        <v>75.357986629999999</v>
      </c>
      <c r="H33" s="16">
        <v>2.07505864</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(2803/B34*100)</f>
        <v>84.555052790346906</v>
      </c>
      <c r="D34" s="15">
        <v>512</v>
      </c>
      <c r="E34" s="14">
        <v>29.381714250000002</v>
      </c>
      <c r="F34" s="16">
        <v>2.1444583100000001</v>
      </c>
      <c r="G34" s="14">
        <v>70.618285749999998</v>
      </c>
      <c r="H34" s="16">
        <v>2.1444583100000001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(2938/B35*100)</f>
        <v>83.823109843081312</v>
      </c>
      <c r="D35" s="15">
        <v>567</v>
      </c>
      <c r="E35" s="14">
        <v>23.019753219999998</v>
      </c>
      <c r="F35" s="16">
        <v>1.9166272799999999</v>
      </c>
      <c r="G35" s="14">
        <v>76.980246780000002</v>
      </c>
      <c r="H35" s="16">
        <v>1.9166272799999999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(2788/B36*100)</f>
        <v>83.673469387755105</v>
      </c>
      <c r="D36" s="15">
        <v>544</v>
      </c>
      <c r="E36" s="14">
        <v>26.041707479999999</v>
      </c>
      <c r="F36" s="16">
        <v>1.8315503399999999</v>
      </c>
      <c r="G36" s="14">
        <v>73.958292520000001</v>
      </c>
      <c r="H36" s="16">
        <v>1.8315503399999999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(2309/B37*100)</f>
        <v>84.671800513384682</v>
      </c>
      <c r="D37" s="15">
        <v>418</v>
      </c>
      <c r="E37" s="14">
        <v>27.720506400000001</v>
      </c>
      <c r="F37" s="16">
        <v>2.3021386399999999</v>
      </c>
      <c r="G37" s="14">
        <v>72.279493599999995</v>
      </c>
      <c r="H37" s="16">
        <v>2.3021386399999999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31.793335880000001</v>
      </c>
      <c r="F39" s="16">
        <v>2.4365115500000001</v>
      </c>
      <c r="G39" s="14">
        <v>68.206664119999999</v>
      </c>
      <c r="H39" s="16">
        <v>2.4365115500000001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(6028/B40*100)</f>
        <v>83.317208016586036</v>
      </c>
      <c r="D40" s="15">
        <v>1207</v>
      </c>
      <c r="E40" s="14">
        <v>28.055885719999999</v>
      </c>
      <c r="F40" s="16">
        <v>1.8256514800000001</v>
      </c>
      <c r="G40" s="14">
        <v>71.944114279999994</v>
      </c>
      <c r="H40" s="16">
        <v>1.8256514800000001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(2399/B41*100)</f>
        <v>83.939818054583625</v>
      </c>
      <c r="D41" s="15">
        <v>459</v>
      </c>
      <c r="E41" s="14">
        <v>25.473270190000001</v>
      </c>
      <c r="F41" s="16">
        <v>2.3973924700000002</v>
      </c>
      <c r="G41" s="14">
        <v>74.526729810000006</v>
      </c>
      <c r="H41" s="16">
        <v>2.3973924700000002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83.857789826805245</v>
      </c>
      <c r="D42" s="15">
        <f>IF(COUNT(D7:D41) &gt; 0, AVERAGE(D7:D41), "—")</f>
        <v>590.9375</v>
      </c>
      <c r="E42" s="14">
        <f>IF(COUNT(E7:E41) &gt; 0, AVERAGE(E7:E41), "—")</f>
        <v>25.924000326562496</v>
      </c>
      <c r="F42" s="16">
        <f>IF(COUNT(F7:F41) &gt; 0, SQRT(SUMSQ(F7:F41)/(COUNT(F7:F41)*COUNT(F7:F41)) ), "—")</f>
        <v>0.36641608190310232</v>
      </c>
      <c r="G42" s="14">
        <f>IF(COUNT(G7:G41) &gt; 0, AVERAGE(G7:G41), "—")</f>
        <v>74.075999673437508</v>
      </c>
      <c r="H42" s="16">
        <f>IF(COUNT(H7:H41) &gt; 0, SQRT(SUMSQ(H7:H41)/(COUNT(H7:H41)*COUNT(H7:H41)) ), "—")</f>
        <v>0.36641608190310232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(9799/B46*100)</f>
        <v>88.534513913986274</v>
      </c>
      <c r="D46" s="15">
        <v>1269</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3105</v>
      </c>
      <c r="C47" s="14">
        <f>(2632/B47*100)</f>
        <v>84.76650563607086</v>
      </c>
      <c r="D47" s="15">
        <v>473</v>
      </c>
      <c r="E47" s="14">
        <v>30.07749948</v>
      </c>
      <c r="F47" s="16">
        <v>2.1577173100000002</v>
      </c>
      <c r="G47" s="14">
        <v>69.92250052</v>
      </c>
      <c r="H47" s="16">
        <v>2.1577173100000002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(4298/B48*100)</f>
        <v>83.310719131614647</v>
      </c>
      <c r="D48" s="15">
        <v>861</v>
      </c>
      <c r="E48" s="14">
        <v>23.431360389999998</v>
      </c>
      <c r="F48" s="16">
        <v>1.7807326000000001</v>
      </c>
      <c r="G48" s="14">
        <v>76.568639610000005</v>
      </c>
      <c r="H48" s="16">
        <v>1.7807326000000001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(4744/B50*100)</f>
        <v>84.158240198687238</v>
      </c>
      <c r="D50" s="15">
        <v>893</v>
      </c>
      <c r="E50" s="14">
        <v>32.714152380000002</v>
      </c>
      <c r="F50" s="16">
        <v>1.94542736</v>
      </c>
      <c r="G50" s="14">
        <v>67.285847619999998</v>
      </c>
      <c r="H50" s="16">
        <v>1.94542736</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(2890/B51*100)</f>
        <v>85.705812574139969</v>
      </c>
      <c r="D51" s="15">
        <v>482</v>
      </c>
      <c r="E51" s="14">
        <v>28.827073510000002</v>
      </c>
      <c r="F51" s="16">
        <v>1.8550362199999999</v>
      </c>
      <c r="G51" s="14">
        <v>71.172926489999995</v>
      </c>
      <c r="H51" s="16">
        <v>1.8550362199999999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(2357/B52*100)</f>
        <v>84.298998569384835</v>
      </c>
      <c r="D52" s="15">
        <v>439</v>
      </c>
      <c r="E52" s="14">
        <v>29.849675699999999</v>
      </c>
      <c r="F52" s="16">
        <v>2.4398578199999998</v>
      </c>
      <c r="G52" s="14">
        <v>70.150324299999994</v>
      </c>
      <c r="H52" s="16">
        <v>2.4398578199999998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(2360/B53*100)</f>
        <v>83.955887584489503</v>
      </c>
      <c r="D53" s="15">
        <v>451</v>
      </c>
      <c r="E53" s="14">
        <v>32.747876120000001</v>
      </c>
      <c r="F53" s="16">
        <v>2.0697031199999998</v>
      </c>
      <c r="G53" s="14">
        <v>67.252123879999999</v>
      </c>
      <c r="H53" s="16">
        <v>2.0697031199999998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(2248/B56*100)</f>
        <v>83.75558867362146</v>
      </c>
      <c r="D56" s="15">
        <v>436</v>
      </c>
      <c r="E56" s="14">
        <v>21.278767670000001</v>
      </c>
      <c r="F56" s="16">
        <v>2.2529543200000002</v>
      </c>
      <c r="G56" s="14">
        <v>78.721232330000007</v>
      </c>
      <c r="H56" s="16">
        <v>2.2529543200000002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(2800/B61*100)</f>
        <v>84.235860409145616</v>
      </c>
      <c r="D61" s="15">
        <v>524</v>
      </c>
      <c r="E61" s="14">
        <v>30.2559237</v>
      </c>
      <c r="F61" s="16">
        <v>2.1762729099999998</v>
      </c>
      <c r="G61" s="14">
        <v>69.744076300000003</v>
      </c>
      <c r="H61" s="16">
        <v>2.1762729099999998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(1857/B62*100)</f>
        <v>82.680320569902051</v>
      </c>
      <c r="D62" s="15">
        <v>389</v>
      </c>
      <c r="E62" s="14">
        <v>14.398225630000001</v>
      </c>
      <c r="F62" s="16">
        <v>1.88106091</v>
      </c>
      <c r="G62" s="14">
        <v>85.601774370000001</v>
      </c>
      <c r="H62" s="16">
        <v>1.88106091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(2461/B66*100)</f>
        <v>85.038009675190054</v>
      </c>
      <c r="D66" s="15">
        <v>433</v>
      </c>
      <c r="E66" s="14">
        <v>28.295111930000001</v>
      </c>
      <c r="F66" s="16">
        <v>2.1923037999999999</v>
      </c>
      <c r="G66" s="14">
        <v>71.704888069999996</v>
      </c>
      <c r="H66" s="16">
        <v>2.1923037999999999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(3020/B67*100)</f>
        <v>86.015380233551696</v>
      </c>
      <c r="D67" s="15">
        <v>491</v>
      </c>
      <c r="E67" s="14">
        <v>32.56874689</v>
      </c>
      <c r="F67" s="16">
        <v>2.1585418700000001</v>
      </c>
      <c r="G67" s="14">
        <v>67.43125311</v>
      </c>
      <c r="H67" s="16">
        <v>2.1585418700000001</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(2460/B70*100)</f>
        <v>83.987709115739165</v>
      </c>
      <c r="D70" s="15">
        <v>469</v>
      </c>
      <c r="E70" s="14">
        <v>28.539147010000001</v>
      </c>
      <c r="F70" s="16">
        <v>2.65135583</v>
      </c>
      <c r="G70" s="14">
        <v>71.460852990000006</v>
      </c>
      <c r="H70" s="16">
        <v>2.65135583</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(3214/B72*100)</f>
        <v>82.643353047055797</v>
      </c>
      <c r="D72" s="15">
        <v>675</v>
      </c>
      <c r="E72" s="14">
        <v>23.777056330000001</v>
      </c>
      <c r="F72" s="16">
        <v>1.69782104</v>
      </c>
      <c r="G72" s="14">
        <v>76.222943670000006</v>
      </c>
      <c r="H72" s="16">
        <v>1.69782104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53.391719770000002</v>
      </c>
      <c r="F73" s="16">
        <v>2.6792960300000002</v>
      </c>
      <c r="G73" s="14">
        <v>46.608280229999998</v>
      </c>
      <c r="H73" s="16">
        <v>2.6792960300000002</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(2058/B75*100)</f>
        <v>85.536159600997507</v>
      </c>
      <c r="D75" s="15">
        <v>348</v>
      </c>
      <c r="E75" s="14">
        <v>26.35762544</v>
      </c>
      <c r="F75" s="16">
        <v>2.4098732599999999</v>
      </c>
      <c r="G75" s="14">
        <v>73.642374559999993</v>
      </c>
      <c r="H75" s="16">
        <v>2.4098732599999999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(5875/B76*100)</f>
        <v>83.309699376063534</v>
      </c>
      <c r="D76" s="15">
        <v>1177</v>
      </c>
      <c r="E76" s="14">
        <v>38.915096030000001</v>
      </c>
      <c r="F76" s="16">
        <v>1.69953244</v>
      </c>
      <c r="G76" s="14">
        <v>61.084903969999999</v>
      </c>
      <c r="H76" s="16">
        <v>1.69953244</v>
      </c>
      <c r="I76" s="14" t="s">
        <v>139</v>
      </c>
      <c r="J76" s="16" t="s">
        <v>139</v>
      </c>
      <c r="K76" s="14">
        <v>0</v>
      </c>
      <c r="L76" s="16">
        <v>0</v>
      </c>
      <c r="M76" s="14">
        <v>0</v>
      </c>
      <c r="N76" s="16">
        <v>0</v>
      </c>
      <c r="O76" s="14">
        <v>0</v>
      </c>
      <c r="P76" s="16">
        <v>0</v>
      </c>
      <c r="Q76" s="14">
        <v>0</v>
      </c>
      <c r="R76" s="16">
        <v>0</v>
      </c>
    </row>
    <row r="77" spans="1:18" x14ac:dyDescent="0.25">
      <c r="A77" s="11" t="s">
        <v>210</v>
      </c>
      <c r="B77" s="13">
        <v>2908</v>
      </c>
      <c r="C77" s="14">
        <f>(2486/B77*100)</f>
        <v>85.488308115543333</v>
      </c>
      <c r="D77" s="15">
        <v>422</v>
      </c>
      <c r="E77" s="14">
        <v>33.551596060000001</v>
      </c>
      <c r="F77" s="16">
        <v>2.31822705</v>
      </c>
      <c r="G77" s="14">
        <v>66.448403940000006</v>
      </c>
      <c r="H77" s="16">
        <v>2.31822705</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38.074252659999999</v>
      </c>
      <c r="F81" s="16">
        <v>2.0594539100000002</v>
      </c>
      <c r="G81" s="14">
        <v>61.925747340000001</v>
      </c>
      <c r="H81" s="16">
        <v>2.0594539100000002</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(6194/B7*100)</f>
        <v>84.077643545540923</v>
      </c>
      <c r="D7" s="15">
        <v>1173</v>
      </c>
      <c r="E7" s="14">
        <v>85.418618409999993</v>
      </c>
      <c r="F7" s="16">
        <v>1.2041114399999999</v>
      </c>
      <c r="G7" s="14">
        <v>14.581381589999999</v>
      </c>
      <c r="H7" s="16">
        <v>1.2041114399999999</v>
      </c>
      <c r="I7" s="14" t="s">
        <v>139</v>
      </c>
      <c r="J7" s="16" t="s">
        <v>139</v>
      </c>
      <c r="K7" s="14">
        <v>0</v>
      </c>
      <c r="L7" s="16">
        <v>0</v>
      </c>
      <c r="M7" s="14">
        <v>0</v>
      </c>
      <c r="N7" s="16">
        <v>0</v>
      </c>
      <c r="O7" s="14">
        <v>0</v>
      </c>
      <c r="P7" s="16">
        <v>0</v>
      </c>
      <c r="Q7" s="14">
        <v>0</v>
      </c>
      <c r="R7" s="16">
        <v>0</v>
      </c>
    </row>
    <row r="8" spans="1:18" x14ac:dyDescent="0.25">
      <c r="A8" s="11" t="s">
        <v>140</v>
      </c>
      <c r="B8" s="13">
        <v>3564</v>
      </c>
      <c r="C8" s="14">
        <f>(2968/B8*100)</f>
        <v>83.277216610549942</v>
      </c>
      <c r="D8" s="15">
        <v>596</v>
      </c>
      <c r="E8" s="14">
        <v>91.048716659999997</v>
      </c>
      <c r="F8" s="16">
        <v>1.25102373</v>
      </c>
      <c r="G8" s="14">
        <v>8.9512833399999998</v>
      </c>
      <c r="H8" s="16">
        <v>1.25102373</v>
      </c>
      <c r="I8" s="14" t="s">
        <v>139</v>
      </c>
      <c r="J8" s="16" t="s">
        <v>139</v>
      </c>
      <c r="K8" s="14">
        <v>0</v>
      </c>
      <c r="L8" s="16">
        <v>0</v>
      </c>
      <c r="M8" s="14">
        <v>0</v>
      </c>
      <c r="N8" s="16">
        <v>0</v>
      </c>
      <c r="O8" s="14">
        <v>0</v>
      </c>
      <c r="P8" s="16">
        <v>0</v>
      </c>
      <c r="Q8" s="14">
        <v>0</v>
      </c>
      <c r="R8" s="16">
        <v>0</v>
      </c>
    </row>
    <row r="9" spans="1:18" x14ac:dyDescent="0.25">
      <c r="A9" s="11" t="s">
        <v>141</v>
      </c>
      <c r="B9" s="13">
        <v>4899</v>
      </c>
      <c r="C9" s="14">
        <f>(4133/B9*100)</f>
        <v>84.364155950193918</v>
      </c>
      <c r="D9" s="15">
        <v>766</v>
      </c>
      <c r="E9" s="14">
        <v>89.33408627</v>
      </c>
      <c r="F9" s="16">
        <v>1.0761866099999999</v>
      </c>
      <c r="G9" s="14">
        <v>10.66591373</v>
      </c>
      <c r="H9" s="16">
        <v>1.0761866099999999</v>
      </c>
      <c r="I9" s="14" t="s">
        <v>139</v>
      </c>
      <c r="J9" s="16" t="s">
        <v>139</v>
      </c>
      <c r="K9" s="14">
        <v>0</v>
      </c>
      <c r="L9" s="16">
        <v>0</v>
      </c>
      <c r="M9" s="14">
        <v>0</v>
      </c>
      <c r="N9" s="16">
        <v>0</v>
      </c>
      <c r="O9" s="14">
        <v>0</v>
      </c>
      <c r="P9" s="16">
        <v>0</v>
      </c>
      <c r="Q9" s="14">
        <v>0</v>
      </c>
      <c r="R9" s="16">
        <v>0</v>
      </c>
    </row>
    <row r="10" spans="1:18" x14ac:dyDescent="0.25">
      <c r="A10" s="11" t="s">
        <v>142</v>
      </c>
      <c r="B10" s="13">
        <v>10036</v>
      </c>
      <c r="C10" s="14">
        <f>(8378/B10*100)</f>
        <v>83.479473893981677</v>
      </c>
      <c r="D10" s="15">
        <v>1658</v>
      </c>
      <c r="E10" s="14">
        <v>87.794987849999998</v>
      </c>
      <c r="F10" s="16">
        <v>1.14025467</v>
      </c>
      <c r="G10" s="14">
        <v>12.20501215</v>
      </c>
      <c r="H10" s="16">
        <v>1.14025467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(2994/B11*100)</f>
        <v>84.266816774556702</v>
      </c>
      <c r="D11" s="15">
        <v>559</v>
      </c>
      <c r="E11" s="14">
        <v>90.499427010000005</v>
      </c>
      <c r="F11" s="16">
        <v>1.55516447</v>
      </c>
      <c r="G11" s="14">
        <v>9.5005729900000002</v>
      </c>
      <c r="H11" s="16">
        <v>1.55516447</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(2877/B12*100)</f>
        <v>82.862903225806448</v>
      </c>
      <c r="D12" s="15">
        <v>595</v>
      </c>
      <c r="E12" s="14">
        <v>94.243153090000007</v>
      </c>
      <c r="F12" s="16">
        <v>0.96828495000000003</v>
      </c>
      <c r="G12" s="14">
        <v>5.7568469100000002</v>
      </c>
      <c r="H12" s="16">
        <v>0.96828495000000003</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92.303253710000007</v>
      </c>
      <c r="F13" s="16">
        <v>1.30551354</v>
      </c>
      <c r="G13" s="14">
        <v>7.6967462900000001</v>
      </c>
      <c r="H13" s="16">
        <v>1.30551354</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(2330/B14*100)</f>
        <v>83.244015719899963</v>
      </c>
      <c r="D14" s="15">
        <v>469</v>
      </c>
      <c r="E14" s="14">
        <v>91.022430900000003</v>
      </c>
      <c r="F14" s="16">
        <v>1.13528775</v>
      </c>
      <c r="G14" s="14">
        <v>8.9775691000000002</v>
      </c>
      <c r="H14" s="16">
        <v>1.13528775</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(2518/B15*100)</f>
        <v>83.405101026830081</v>
      </c>
      <c r="D15" s="15">
        <v>501</v>
      </c>
      <c r="E15" s="14">
        <v>88.708843790000003</v>
      </c>
      <c r="F15" s="16">
        <v>1.4834227600000001</v>
      </c>
      <c r="G15" s="14">
        <v>11.29115621</v>
      </c>
      <c r="H15" s="16">
        <v>1.4834227600000001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(2533/B16*100)</f>
        <v>84.517851184517852</v>
      </c>
      <c r="D16" s="15">
        <v>464</v>
      </c>
      <c r="E16" s="14">
        <v>89.671622959999993</v>
      </c>
      <c r="F16" s="16">
        <v>1.4649424799999999</v>
      </c>
      <c r="G16" s="14">
        <v>10.328377039999999</v>
      </c>
      <c r="H16" s="16">
        <v>1.4649424799999999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(2815/B17*100)</f>
        <v>85.122467493196254</v>
      </c>
      <c r="D17" s="15">
        <v>492</v>
      </c>
      <c r="E17" s="14">
        <v>93.810580310000006</v>
      </c>
      <c r="F17" s="16">
        <v>1.05973827</v>
      </c>
      <c r="G17" s="14">
        <v>6.1894196900000003</v>
      </c>
      <c r="H17" s="16">
        <v>1.05973827</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(2356/B18*100)</f>
        <v>83.368719037508839</v>
      </c>
      <c r="D18" s="15">
        <v>470</v>
      </c>
      <c r="E18" s="14">
        <v>90.92057131</v>
      </c>
      <c r="F18" s="16">
        <v>1.2836344399999999</v>
      </c>
      <c r="G18" s="14">
        <v>9.0794286900000003</v>
      </c>
      <c r="H18" s="16">
        <v>1.2836344399999999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(2359/B19*100)</f>
        <v>84.009971509971521</v>
      </c>
      <c r="D19" s="15">
        <v>449</v>
      </c>
      <c r="E19" s="14">
        <v>92.570337379999998</v>
      </c>
      <c r="F19" s="16">
        <v>1.26605842</v>
      </c>
      <c r="G19" s="14">
        <v>7.4296626200000002</v>
      </c>
      <c r="H19" s="16">
        <v>1.26605842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(1370/B20*100)</f>
        <v>84.049079754601223</v>
      </c>
      <c r="D20" s="15">
        <v>260</v>
      </c>
      <c r="E20" s="14">
        <v>86.516740400000003</v>
      </c>
      <c r="F20" s="16">
        <v>2.0484112200000002</v>
      </c>
      <c r="G20" s="14">
        <v>13.4832596</v>
      </c>
      <c r="H20" s="16">
        <v>2.0484112200000002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(2460/B22*100)</f>
        <v>83.930399181166834</v>
      </c>
      <c r="D22" s="15">
        <v>471</v>
      </c>
      <c r="E22" s="14">
        <v>91.533402499999994</v>
      </c>
      <c r="F22" s="16">
        <v>1.40770624</v>
      </c>
      <c r="G22" s="14">
        <v>8.4665975000000007</v>
      </c>
      <c r="H22" s="16">
        <v>1.40770624</v>
      </c>
      <c r="I22" s="14" t="s">
        <v>139</v>
      </c>
      <c r="J22" s="16" t="s">
        <v>139</v>
      </c>
      <c r="K22" s="14">
        <v>0</v>
      </c>
      <c r="L22" s="16">
        <v>0</v>
      </c>
      <c r="M22" s="14">
        <v>0</v>
      </c>
      <c r="N22" s="16">
        <v>0</v>
      </c>
      <c r="O22" s="14">
        <v>0</v>
      </c>
      <c r="P22" s="16">
        <v>0</v>
      </c>
      <c r="Q22" s="14">
        <v>0</v>
      </c>
      <c r="R22" s="16">
        <v>0</v>
      </c>
    </row>
    <row r="23" spans="1:18" x14ac:dyDescent="0.25">
      <c r="A23" s="11" t="s">
        <v>156</v>
      </c>
      <c r="B23" s="13">
        <v>5791</v>
      </c>
      <c r="C23" s="14">
        <f>(4825/B23*100)</f>
        <v>83.318943187705059</v>
      </c>
      <c r="D23" s="15">
        <v>966</v>
      </c>
      <c r="E23" s="14">
        <v>88.278688720000005</v>
      </c>
      <c r="F23" s="16">
        <v>1.66678854</v>
      </c>
      <c r="G23" s="14">
        <v>11.72131128</v>
      </c>
      <c r="H23" s="16">
        <v>1.66678854</v>
      </c>
      <c r="I23" s="14" t="s">
        <v>139</v>
      </c>
      <c r="J23" s="16" t="s">
        <v>139</v>
      </c>
      <c r="K23" s="14">
        <v>0</v>
      </c>
      <c r="L23" s="16">
        <v>0</v>
      </c>
      <c r="M23" s="14">
        <v>0</v>
      </c>
      <c r="N23" s="16">
        <v>0</v>
      </c>
      <c r="O23" s="14">
        <v>0</v>
      </c>
      <c r="P23" s="16">
        <v>0</v>
      </c>
      <c r="Q23" s="14">
        <v>0</v>
      </c>
      <c r="R23" s="16">
        <v>0</v>
      </c>
    </row>
    <row r="24" spans="1:18" x14ac:dyDescent="0.25">
      <c r="A24" s="11" t="s">
        <v>157</v>
      </c>
      <c r="B24" s="13">
        <v>3338</v>
      </c>
      <c r="C24" s="14">
        <f>(2784/B24*100)</f>
        <v>83.403235470341514</v>
      </c>
      <c r="D24" s="15">
        <v>554</v>
      </c>
      <c r="E24" s="14">
        <v>84.776469160000005</v>
      </c>
      <c r="F24" s="16">
        <v>1.3799016399999999</v>
      </c>
      <c r="G24" s="14">
        <v>15.22353084</v>
      </c>
      <c r="H24" s="16">
        <v>1.3799016399999999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88.174128569999993</v>
      </c>
      <c r="F25" s="16">
        <v>1.57133112</v>
      </c>
      <c r="G25" s="14">
        <v>11.825871429999999</v>
      </c>
      <c r="H25" s="16">
        <v>1.57133112</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(2051/B26*100)</f>
        <v>83.714285714285722</v>
      </c>
      <c r="D26" s="15">
        <v>399</v>
      </c>
      <c r="E26" s="14">
        <v>91.881463789999998</v>
      </c>
      <c r="F26" s="16">
        <v>1.4415311</v>
      </c>
      <c r="G26" s="14">
        <v>8.1185362100000003</v>
      </c>
      <c r="H26" s="16">
        <v>1.4415311</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(2200/B27*100)</f>
        <v>84.097859327217122</v>
      </c>
      <c r="D27" s="15">
        <v>416</v>
      </c>
      <c r="E27" s="14">
        <v>91.601470050000003</v>
      </c>
      <c r="F27" s="16">
        <v>1.2991512999999999</v>
      </c>
      <c r="G27" s="14">
        <v>8.3985299500000004</v>
      </c>
      <c r="H27" s="16">
        <v>1.2991512999999999</v>
      </c>
      <c r="I27" s="14" t="s">
        <v>139</v>
      </c>
      <c r="J27" s="16" t="s">
        <v>139</v>
      </c>
      <c r="K27" s="14">
        <v>0</v>
      </c>
      <c r="L27" s="16">
        <v>0</v>
      </c>
      <c r="M27" s="14">
        <v>0</v>
      </c>
      <c r="N27" s="16">
        <v>0</v>
      </c>
      <c r="O27" s="14">
        <v>0</v>
      </c>
      <c r="P27" s="16">
        <v>0</v>
      </c>
      <c r="Q27" s="14">
        <v>0</v>
      </c>
      <c r="R27" s="16">
        <v>0</v>
      </c>
    </row>
    <row r="28" spans="1:18" x14ac:dyDescent="0.25">
      <c r="A28" s="11" t="s">
        <v>161</v>
      </c>
      <c r="B28" s="13">
        <v>3765</v>
      </c>
      <c r="C28" s="14">
        <f>(3204/B28*100)</f>
        <v>85.099601593625493</v>
      </c>
      <c r="D28" s="15">
        <v>561</v>
      </c>
      <c r="E28" s="14">
        <v>90.807308169999999</v>
      </c>
      <c r="F28" s="16">
        <v>1.64342897</v>
      </c>
      <c r="G28" s="14">
        <v>9.1926918299999993</v>
      </c>
      <c r="H28" s="16">
        <v>1.64342897</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93.002472420000004</v>
      </c>
      <c r="F29" s="16">
        <v>1.2061846899999999</v>
      </c>
      <c r="G29" s="14">
        <v>6.9975275799999999</v>
      </c>
      <c r="H29" s="16">
        <v>1.2061846899999999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(1903/B30*100)</f>
        <v>84.091913389306228</v>
      </c>
      <c r="D30" s="15">
        <v>360</v>
      </c>
      <c r="E30" s="14">
        <v>87.654577829999994</v>
      </c>
      <c r="F30" s="16">
        <v>1.68010938</v>
      </c>
      <c r="G30" s="14">
        <v>12.345422170000001</v>
      </c>
      <c r="H30" s="16">
        <v>1.68010938</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(2312/B31*100)</f>
        <v>84.072727272727278</v>
      </c>
      <c r="D31" s="15">
        <v>438</v>
      </c>
      <c r="E31" s="14">
        <v>91.310790999999995</v>
      </c>
      <c r="F31" s="16">
        <v>1.45461331</v>
      </c>
      <c r="G31" s="14">
        <v>8.689209</v>
      </c>
      <c r="H31" s="16">
        <v>1.45461331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(3086/B33*100)</f>
        <v>83.995645073489385</v>
      </c>
      <c r="D33" s="15">
        <v>588</v>
      </c>
      <c r="E33" s="14">
        <v>88.555034329999998</v>
      </c>
      <c r="F33" s="16">
        <v>1.3407237400000001</v>
      </c>
      <c r="G33" s="14">
        <v>11.44496567</v>
      </c>
      <c r="H33" s="16">
        <v>1.3407237400000001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(2803/B34*100)</f>
        <v>84.555052790346906</v>
      </c>
      <c r="D34" s="15">
        <v>512</v>
      </c>
      <c r="E34" s="14">
        <v>92.997975150000002</v>
      </c>
      <c r="F34" s="16">
        <v>1.1956227699999999</v>
      </c>
      <c r="G34" s="14">
        <v>7.0020248499999997</v>
      </c>
      <c r="H34" s="16">
        <v>1.1956227699999999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(2938/B35*100)</f>
        <v>83.823109843081312</v>
      </c>
      <c r="D35" s="15">
        <v>567</v>
      </c>
      <c r="E35" s="14">
        <v>87.966689149999993</v>
      </c>
      <c r="F35" s="16">
        <v>1.8110981399999999</v>
      </c>
      <c r="G35" s="14">
        <v>12.033310849999999</v>
      </c>
      <c r="H35" s="16">
        <v>1.8110981399999999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(2788/B36*100)</f>
        <v>83.673469387755105</v>
      </c>
      <c r="D36" s="15">
        <v>544</v>
      </c>
      <c r="E36" s="14">
        <v>90.086571599999999</v>
      </c>
      <c r="F36" s="16">
        <v>1.3348409000000001</v>
      </c>
      <c r="G36" s="14">
        <v>9.9134284000000008</v>
      </c>
      <c r="H36" s="16">
        <v>1.3348409000000001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(2309/B37*100)</f>
        <v>84.671800513384682</v>
      </c>
      <c r="D37" s="15">
        <v>418</v>
      </c>
      <c r="E37" s="14">
        <v>88.912217220000002</v>
      </c>
      <c r="F37" s="16">
        <v>1.84135022</v>
      </c>
      <c r="G37" s="14">
        <v>11.08778278</v>
      </c>
      <c r="H37" s="16">
        <v>1.84135022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94.252174850000003</v>
      </c>
      <c r="F39" s="16">
        <v>1.10401744</v>
      </c>
      <c r="G39" s="14">
        <v>5.7478251499999997</v>
      </c>
      <c r="H39" s="16">
        <v>1.10401744</v>
      </c>
      <c r="I39" s="14" t="s">
        <v>139</v>
      </c>
      <c r="J39" s="16" t="s">
        <v>139</v>
      </c>
      <c r="K39" s="14">
        <v>0</v>
      </c>
      <c r="L39" s="16">
        <v>0</v>
      </c>
      <c r="M39" s="14">
        <v>0</v>
      </c>
      <c r="N39" s="16">
        <v>0</v>
      </c>
      <c r="O39" s="14">
        <v>0</v>
      </c>
      <c r="P39" s="16">
        <v>0</v>
      </c>
      <c r="Q39" s="14">
        <v>0</v>
      </c>
      <c r="R39" s="16">
        <v>0</v>
      </c>
    </row>
    <row r="40" spans="1:18" x14ac:dyDescent="0.25">
      <c r="A40" s="11" t="s">
        <v>173</v>
      </c>
      <c r="B40" s="13">
        <v>7235</v>
      </c>
      <c r="C40" s="14">
        <f>(6028/B40*100)</f>
        <v>83.317208016586036</v>
      </c>
      <c r="D40" s="15">
        <v>1207</v>
      </c>
      <c r="E40" s="14">
        <v>84.884732240000005</v>
      </c>
      <c r="F40" s="16">
        <v>1.52112242</v>
      </c>
      <c r="G40" s="14">
        <v>15.11526776</v>
      </c>
      <c r="H40" s="16">
        <v>1.52112242</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(2399/B41*100)</f>
        <v>83.939818054583625</v>
      </c>
      <c r="D41" s="15">
        <v>459</v>
      </c>
      <c r="E41" s="14">
        <v>87.949823510000002</v>
      </c>
      <c r="F41" s="16">
        <v>1.4602896700000001</v>
      </c>
      <c r="G41" s="14">
        <v>12.05017649</v>
      </c>
      <c r="H41" s="16">
        <v>1.4602896700000001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83.857789826805245</v>
      </c>
      <c r="D42" s="15">
        <f>IF(COUNT(D7:D41) &gt; 0, AVERAGE(D7:D41), "—")</f>
        <v>590.9375</v>
      </c>
      <c r="E42" s="14">
        <f>IF(COUNT(E7:E41) &gt; 0, AVERAGE(E7:E41), "—")</f>
        <v>89.952792509687498</v>
      </c>
      <c r="F42" s="16">
        <f>IF(COUNT(F7:F41) &gt; 0, SQRT(SUMSQ(F7:F41)/(COUNT(F7:F41)*COUNT(F7:F41)) ), "—")</f>
        <v>0.25014990341539584</v>
      </c>
      <c r="G42" s="14">
        <f>IF(COUNT(G7:G41) &gt; 0, AVERAGE(G7:G41), "—")</f>
        <v>10.0472074903125</v>
      </c>
      <c r="H42" s="16">
        <f>IF(COUNT(H7:H41) &gt; 0, SQRT(SUMSQ(H7:H41)/(COUNT(H7:H41)*COUNT(H7:H41)) ), "—")</f>
        <v>0.25014990341539584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(9799/B46*100)</f>
        <v>88.534513913986274</v>
      </c>
      <c r="D46" s="15">
        <v>1269</v>
      </c>
      <c r="E46" s="14">
        <v>91.283993559999999</v>
      </c>
      <c r="F46" s="16">
        <v>1.16848354</v>
      </c>
      <c r="G46" s="14">
        <v>8.7160064399999992</v>
      </c>
      <c r="H46" s="16">
        <v>1.16848354</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(2632/B47*100)</f>
        <v>84.76650563607086</v>
      </c>
      <c r="D47" s="15">
        <v>473</v>
      </c>
      <c r="E47" s="14">
        <v>89.701961109999999</v>
      </c>
      <c r="F47" s="16">
        <v>1.4417140900000001</v>
      </c>
      <c r="G47" s="14">
        <v>10.298038890000001</v>
      </c>
      <c r="H47" s="16">
        <v>1.4417140900000001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(4298/B48*100)</f>
        <v>83.310719131614647</v>
      </c>
      <c r="D48" s="15">
        <v>861</v>
      </c>
      <c r="E48" s="14">
        <v>91.972943909999998</v>
      </c>
      <c r="F48" s="16">
        <v>1.3275987300000001</v>
      </c>
      <c r="G48" s="14">
        <v>8.0270560900000003</v>
      </c>
      <c r="H48" s="16">
        <v>1.3275987300000001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(4744/B50*100)</f>
        <v>84.158240198687238</v>
      </c>
      <c r="D50" s="15">
        <v>893</v>
      </c>
      <c r="E50" s="14">
        <v>94.469521599999993</v>
      </c>
      <c r="F50" s="16">
        <v>0.88954153999999996</v>
      </c>
      <c r="G50" s="14">
        <v>5.5304783999999998</v>
      </c>
      <c r="H50" s="16">
        <v>0.88954153999999996</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(2890/B51*100)</f>
        <v>85.705812574139969</v>
      </c>
      <c r="D51" s="15">
        <v>482</v>
      </c>
      <c r="E51" s="14">
        <v>90.835267270000003</v>
      </c>
      <c r="F51" s="16">
        <v>1.30589394</v>
      </c>
      <c r="G51" s="14">
        <v>9.1647327300000008</v>
      </c>
      <c r="H51" s="16">
        <v>1.30589394</v>
      </c>
      <c r="I51" s="14" t="s">
        <v>139</v>
      </c>
      <c r="J51" s="16" t="s">
        <v>139</v>
      </c>
      <c r="K51" s="14">
        <v>0</v>
      </c>
      <c r="L51" s="16">
        <v>0</v>
      </c>
      <c r="M51" s="14">
        <v>0</v>
      </c>
      <c r="N51" s="16">
        <v>0</v>
      </c>
      <c r="O51" s="14">
        <v>0</v>
      </c>
      <c r="P51" s="16">
        <v>0</v>
      </c>
      <c r="Q51" s="14">
        <v>0</v>
      </c>
      <c r="R51" s="16">
        <v>0</v>
      </c>
    </row>
    <row r="52" spans="1:18" x14ac:dyDescent="0.25">
      <c r="A52" s="11" t="s">
        <v>185</v>
      </c>
      <c r="B52" s="13">
        <v>2796</v>
      </c>
      <c r="C52" s="14">
        <f>(2357/B52*100)</f>
        <v>84.298998569384835</v>
      </c>
      <c r="D52" s="15">
        <v>439</v>
      </c>
      <c r="E52" s="14">
        <v>87.893353750000003</v>
      </c>
      <c r="F52" s="16">
        <v>1.7578681300000001</v>
      </c>
      <c r="G52" s="14">
        <v>12.106646250000001</v>
      </c>
      <c r="H52" s="16">
        <v>1.7578681300000001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(2360/B53*100)</f>
        <v>83.955887584489503</v>
      </c>
      <c r="D53" s="15">
        <v>451</v>
      </c>
      <c r="E53" s="14">
        <v>87.175257189999996</v>
      </c>
      <c r="F53" s="16">
        <v>1.7888747199999999</v>
      </c>
      <c r="G53" s="14">
        <v>12.82474281</v>
      </c>
      <c r="H53" s="16">
        <v>1.7888747199999999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(2248/B56*100)</f>
        <v>83.75558867362146</v>
      </c>
      <c r="D56" s="15">
        <v>436</v>
      </c>
      <c r="E56" s="14">
        <v>87.743269819999995</v>
      </c>
      <c r="F56" s="16">
        <v>1.42834919</v>
      </c>
      <c r="G56" s="14">
        <v>12.25673018</v>
      </c>
      <c r="H56" s="16">
        <v>1.42834919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(2800/B61*100)</f>
        <v>84.235860409145616</v>
      </c>
      <c r="D61" s="15">
        <v>524</v>
      </c>
      <c r="E61" s="14">
        <v>90.251497040000004</v>
      </c>
      <c r="F61" s="16">
        <v>1.4632202999999999</v>
      </c>
      <c r="G61" s="14">
        <v>9.7485029599999997</v>
      </c>
      <c r="H61" s="16">
        <v>1.4632202999999999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(1857/B62*100)</f>
        <v>82.680320569902051</v>
      </c>
      <c r="D62" s="15">
        <v>389</v>
      </c>
      <c r="E62" s="14">
        <v>89.20771972</v>
      </c>
      <c r="F62" s="16">
        <v>1.4746035200000001</v>
      </c>
      <c r="G62" s="14">
        <v>10.79228028</v>
      </c>
      <c r="H62" s="16">
        <v>1.4746035200000001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(2461/B66*100)</f>
        <v>85.038009675190054</v>
      </c>
      <c r="D66" s="15">
        <v>433</v>
      </c>
      <c r="E66" s="14">
        <v>89.023780130000006</v>
      </c>
      <c r="F66" s="16">
        <v>1.6673995699999999</v>
      </c>
      <c r="G66" s="14">
        <v>10.97621987</v>
      </c>
      <c r="H66" s="16">
        <v>1.6673995699999999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(3020/B67*100)</f>
        <v>86.015380233551696</v>
      </c>
      <c r="D67" s="15">
        <v>491</v>
      </c>
      <c r="E67" s="14">
        <v>88.917005459999999</v>
      </c>
      <c r="F67" s="16">
        <v>1.65460015</v>
      </c>
      <c r="G67" s="14">
        <v>11.08299454</v>
      </c>
      <c r="H67" s="16">
        <v>1.65460015</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(2460/B70*100)</f>
        <v>83.987709115739165</v>
      </c>
      <c r="D70" s="15">
        <v>469</v>
      </c>
      <c r="E70" s="14">
        <v>92.442120489999994</v>
      </c>
      <c r="F70" s="16">
        <v>1.1398497999999999</v>
      </c>
      <c r="G70" s="14">
        <v>7.5578795100000002</v>
      </c>
      <c r="H70" s="16">
        <v>1.1398497999999999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(3214/B72*100)</f>
        <v>82.643353047055797</v>
      </c>
      <c r="D72" s="15">
        <v>675</v>
      </c>
      <c r="E72" s="14">
        <v>87.767471439999994</v>
      </c>
      <c r="F72" s="16">
        <v>1.7098643</v>
      </c>
      <c r="G72" s="14">
        <v>12.23252856</v>
      </c>
      <c r="H72" s="16">
        <v>1.7098643</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90.224465980000005</v>
      </c>
      <c r="F73" s="16">
        <v>1.1342134699999999</v>
      </c>
      <c r="G73" s="14">
        <v>9.7755340200000003</v>
      </c>
      <c r="H73" s="16">
        <v>1.1342134699999999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(2058/B75*100)</f>
        <v>85.536159600997507</v>
      </c>
      <c r="D75" s="15">
        <v>348</v>
      </c>
      <c r="E75" s="14">
        <v>91.984407919999995</v>
      </c>
      <c r="F75" s="16">
        <v>1.6828432099999999</v>
      </c>
      <c r="G75" s="14">
        <v>8.0155920799999993</v>
      </c>
      <c r="H75" s="16">
        <v>1.6828432099999999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(5875/B76*100)</f>
        <v>83.309699376063534</v>
      </c>
      <c r="D76" s="15">
        <v>1177</v>
      </c>
      <c r="E76" s="14">
        <v>86.694304270000003</v>
      </c>
      <c r="F76" s="16">
        <v>1.0872607999999999</v>
      </c>
      <c r="G76" s="14">
        <v>13.30569573</v>
      </c>
      <c r="H76" s="16">
        <v>1.0872607999999999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(2486/B77*100)</f>
        <v>85.488308115543333</v>
      </c>
      <c r="D77" s="15">
        <v>422</v>
      </c>
      <c r="E77" s="14">
        <v>92.161436129999998</v>
      </c>
      <c r="F77" s="16">
        <v>1.3755803200000001</v>
      </c>
      <c r="G77" s="14">
        <v>7.8385638699999998</v>
      </c>
      <c r="H77" s="16">
        <v>1.3755803200000001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89.124212450000002</v>
      </c>
      <c r="F81" s="16">
        <v>1.4660501399999999</v>
      </c>
      <c r="G81" s="14">
        <v>10.87578755</v>
      </c>
      <c r="H81" s="16">
        <v>1.4660501399999999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329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(6194/B7*100)</f>
        <v>84.077643545540923</v>
      </c>
      <c r="D7" s="15">
        <v>1173</v>
      </c>
      <c r="E7" s="14">
        <v>48.686496120000001</v>
      </c>
      <c r="F7" s="16">
        <v>1.6887574700000001</v>
      </c>
      <c r="G7" s="14">
        <v>51.313503879999999</v>
      </c>
      <c r="H7" s="16">
        <v>1.6887574700000001</v>
      </c>
      <c r="I7" s="14" t="s">
        <v>139</v>
      </c>
      <c r="J7" s="16" t="s">
        <v>139</v>
      </c>
      <c r="K7" s="14">
        <v>0</v>
      </c>
      <c r="L7" s="16">
        <v>0</v>
      </c>
      <c r="M7" s="14">
        <v>0</v>
      </c>
      <c r="N7" s="16">
        <v>0</v>
      </c>
      <c r="O7" s="14">
        <v>0</v>
      </c>
      <c r="P7" s="16">
        <v>0</v>
      </c>
      <c r="Q7" s="14">
        <v>0</v>
      </c>
      <c r="R7" s="16">
        <v>0</v>
      </c>
    </row>
    <row r="8" spans="1:18" x14ac:dyDescent="0.25">
      <c r="A8" s="11" t="s">
        <v>140</v>
      </c>
      <c r="B8" s="13">
        <v>3564</v>
      </c>
      <c r="C8" s="14">
        <f>(2968/B8*100)</f>
        <v>83.277216610549942</v>
      </c>
      <c r="D8" s="15">
        <v>596</v>
      </c>
      <c r="E8" s="14">
        <v>57.39966021</v>
      </c>
      <c r="F8" s="16">
        <v>2.1299316799999999</v>
      </c>
      <c r="G8" s="14">
        <v>42.60033979</v>
      </c>
      <c r="H8" s="16">
        <v>2.1299316799999999</v>
      </c>
      <c r="I8" s="14" t="s">
        <v>139</v>
      </c>
      <c r="J8" s="16" t="s">
        <v>139</v>
      </c>
      <c r="K8" s="14">
        <v>0</v>
      </c>
      <c r="L8" s="16">
        <v>0</v>
      </c>
      <c r="M8" s="14">
        <v>0</v>
      </c>
      <c r="N8" s="16">
        <v>0</v>
      </c>
      <c r="O8" s="14">
        <v>0</v>
      </c>
      <c r="P8" s="16">
        <v>0</v>
      </c>
      <c r="Q8" s="14">
        <v>0</v>
      </c>
      <c r="R8" s="16">
        <v>0</v>
      </c>
    </row>
    <row r="9" spans="1:18" x14ac:dyDescent="0.25">
      <c r="A9" s="11" t="s">
        <v>141</v>
      </c>
      <c r="B9" s="13">
        <v>4899</v>
      </c>
      <c r="C9" s="14">
        <f>(4133/B9*100)</f>
        <v>84.364155950193918</v>
      </c>
      <c r="D9" s="15">
        <v>766</v>
      </c>
      <c r="E9" s="14">
        <v>60.123447480000003</v>
      </c>
      <c r="F9" s="16">
        <v>1.9498927699999999</v>
      </c>
      <c r="G9" s="14">
        <v>39.876552519999997</v>
      </c>
      <c r="H9" s="16">
        <v>1.9498927699999999</v>
      </c>
      <c r="I9" s="14" t="s">
        <v>139</v>
      </c>
      <c r="J9" s="16" t="s">
        <v>139</v>
      </c>
      <c r="K9" s="14">
        <v>0</v>
      </c>
      <c r="L9" s="16">
        <v>0</v>
      </c>
      <c r="M9" s="14">
        <v>0</v>
      </c>
      <c r="N9" s="16">
        <v>0</v>
      </c>
      <c r="O9" s="14">
        <v>0</v>
      </c>
      <c r="P9" s="16">
        <v>0</v>
      </c>
      <c r="Q9" s="14">
        <v>0</v>
      </c>
      <c r="R9" s="16">
        <v>0</v>
      </c>
    </row>
    <row r="10" spans="1:18" x14ac:dyDescent="0.25">
      <c r="A10" s="11" t="s">
        <v>142</v>
      </c>
      <c r="B10" s="13">
        <v>10036</v>
      </c>
      <c r="C10" s="14">
        <f>(8378/B10*100)</f>
        <v>83.479473893981677</v>
      </c>
      <c r="D10" s="15">
        <v>1658</v>
      </c>
      <c r="E10" s="14">
        <v>49.975678629999997</v>
      </c>
      <c r="F10" s="16">
        <v>1.73516077</v>
      </c>
      <c r="G10" s="14">
        <v>50.024321370000003</v>
      </c>
      <c r="H10" s="16">
        <v>1.73516077</v>
      </c>
      <c r="I10" s="14" t="s">
        <v>139</v>
      </c>
      <c r="J10" s="16" t="s">
        <v>139</v>
      </c>
      <c r="K10" s="14">
        <v>0</v>
      </c>
      <c r="L10" s="16">
        <v>0</v>
      </c>
      <c r="M10" s="14">
        <v>0</v>
      </c>
      <c r="N10" s="16">
        <v>0</v>
      </c>
      <c r="O10" s="14">
        <v>0</v>
      </c>
      <c r="P10" s="16">
        <v>0</v>
      </c>
      <c r="Q10" s="14">
        <v>0</v>
      </c>
      <c r="R10" s="16">
        <v>0</v>
      </c>
    </row>
    <row r="11" spans="1:18" x14ac:dyDescent="0.25">
      <c r="A11" s="11" t="s">
        <v>143</v>
      </c>
      <c r="B11" s="13">
        <v>3553</v>
      </c>
      <c r="C11" s="14">
        <f>(2994/B11*100)</f>
        <v>84.266816774556702</v>
      </c>
      <c r="D11" s="15">
        <v>559</v>
      </c>
      <c r="E11" s="14">
        <v>70.868076340000002</v>
      </c>
      <c r="F11" s="16">
        <v>2.1627650200000001</v>
      </c>
      <c r="G11" s="14">
        <v>29.131923660000002</v>
      </c>
      <c r="H11" s="16">
        <v>2.1627650200000001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(2877/B12*100)</f>
        <v>82.862903225806448</v>
      </c>
      <c r="D12" s="15">
        <v>595</v>
      </c>
      <c r="E12" s="14">
        <v>52.79116209</v>
      </c>
      <c r="F12" s="16">
        <v>2.1978381699999998</v>
      </c>
      <c r="G12" s="14">
        <v>47.20883791</v>
      </c>
      <c r="H12" s="16">
        <v>2.1978381699999998</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52.675994060000001</v>
      </c>
      <c r="F13" s="16">
        <v>2.7274162899999999</v>
      </c>
      <c r="G13" s="14">
        <v>47.324005939999999</v>
      </c>
      <c r="H13" s="16">
        <v>2.7274162899999999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(2330/B14*100)</f>
        <v>83.244015719899963</v>
      </c>
      <c r="D14" s="15">
        <v>469</v>
      </c>
      <c r="E14" s="14">
        <v>49.153634510000003</v>
      </c>
      <c r="F14" s="16">
        <v>2.44137037</v>
      </c>
      <c r="G14" s="14">
        <v>50.846365489999997</v>
      </c>
      <c r="H14" s="16">
        <v>2.44137037</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(2518/B15*100)</f>
        <v>83.405101026830081</v>
      </c>
      <c r="D15" s="15">
        <v>501</v>
      </c>
      <c r="E15" s="14">
        <v>48.344810580000001</v>
      </c>
      <c r="F15" s="16">
        <v>2.1981234700000001</v>
      </c>
      <c r="G15" s="14">
        <v>51.655189419999999</v>
      </c>
      <c r="H15" s="16">
        <v>2.1981234700000001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(2533/B16*100)</f>
        <v>84.517851184517852</v>
      </c>
      <c r="D16" s="15">
        <v>464</v>
      </c>
      <c r="E16" s="14">
        <v>56.510639740000002</v>
      </c>
      <c r="F16" s="16">
        <v>2.3368663700000001</v>
      </c>
      <c r="G16" s="14">
        <v>43.489360259999998</v>
      </c>
      <c r="H16" s="16">
        <v>2.3368663700000001</v>
      </c>
      <c r="I16" s="14" t="s">
        <v>139</v>
      </c>
      <c r="J16" s="16" t="s">
        <v>139</v>
      </c>
      <c r="K16" s="14">
        <v>0</v>
      </c>
      <c r="L16" s="16">
        <v>0</v>
      </c>
      <c r="M16" s="14">
        <v>0</v>
      </c>
      <c r="N16" s="16">
        <v>0</v>
      </c>
      <c r="O16" s="14">
        <v>0</v>
      </c>
      <c r="P16" s="16">
        <v>0</v>
      </c>
      <c r="Q16" s="14">
        <v>0</v>
      </c>
      <c r="R16" s="16">
        <v>0</v>
      </c>
    </row>
    <row r="17" spans="1:18" x14ac:dyDescent="0.25">
      <c r="A17" s="11" t="s">
        <v>149</v>
      </c>
      <c r="B17" s="13">
        <v>3307</v>
      </c>
      <c r="C17" s="14">
        <f>(2815/B17*100)</f>
        <v>85.122467493196254</v>
      </c>
      <c r="D17" s="15">
        <v>492</v>
      </c>
      <c r="E17" s="14">
        <v>57.014277239999998</v>
      </c>
      <c r="F17" s="16">
        <v>2.1641878499999998</v>
      </c>
      <c r="G17" s="14">
        <v>42.985722760000002</v>
      </c>
      <c r="H17" s="16">
        <v>2.1641878499999998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(2356/B18*100)</f>
        <v>83.368719037508839</v>
      </c>
      <c r="D18" s="15">
        <v>470</v>
      </c>
      <c r="E18" s="14">
        <v>70.987751849999995</v>
      </c>
      <c r="F18" s="16">
        <v>2.5104145199999999</v>
      </c>
      <c r="G18" s="14">
        <v>29.012248150000001</v>
      </c>
      <c r="H18" s="16">
        <v>2.5104145199999999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(2359/B19*100)</f>
        <v>84.009971509971521</v>
      </c>
      <c r="D19" s="15">
        <v>449</v>
      </c>
      <c r="E19" s="14">
        <v>68.272919299999998</v>
      </c>
      <c r="F19" s="16">
        <v>2.1451317300000001</v>
      </c>
      <c r="G19" s="14">
        <v>31.727080699999998</v>
      </c>
      <c r="H19" s="16">
        <v>2.1451317300000001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(1370/B20*100)</f>
        <v>84.049079754601223</v>
      </c>
      <c r="D20" s="15">
        <v>260</v>
      </c>
      <c r="E20" s="14">
        <v>57.905502089999999</v>
      </c>
      <c r="F20" s="16">
        <v>3.64745214</v>
      </c>
      <c r="G20" s="14">
        <v>42.094497910000001</v>
      </c>
      <c r="H20" s="16">
        <v>3.64745214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(2460/B22*100)</f>
        <v>83.930399181166834</v>
      </c>
      <c r="D22" s="15">
        <v>471</v>
      </c>
      <c r="E22" s="14">
        <v>59.295495780000003</v>
      </c>
      <c r="F22" s="16">
        <v>2.0043540100000001</v>
      </c>
      <c r="G22" s="14">
        <v>40.704504219999997</v>
      </c>
      <c r="H22" s="16">
        <v>2.0043540100000001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(4825/B23*100)</f>
        <v>83.318943187705059</v>
      </c>
      <c r="D23" s="15">
        <v>966</v>
      </c>
      <c r="E23" s="14">
        <v>67.104700899999997</v>
      </c>
      <c r="F23" s="16">
        <v>2.09335</v>
      </c>
      <c r="G23" s="14">
        <v>32.895299100000003</v>
      </c>
      <c r="H23" s="16">
        <v>2.09335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(2784/B24*100)</f>
        <v>83.403235470341514</v>
      </c>
      <c r="D24" s="15">
        <v>554</v>
      </c>
      <c r="E24" s="14">
        <v>28.56078127</v>
      </c>
      <c r="F24" s="16">
        <v>2.1848491700000001</v>
      </c>
      <c r="G24" s="14">
        <v>71.439218729999993</v>
      </c>
      <c r="H24" s="16">
        <v>2.1848491700000001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47.765345719999999</v>
      </c>
      <c r="F25" s="16">
        <v>2.1132830600000001</v>
      </c>
      <c r="G25" s="14">
        <v>52.234654280000001</v>
      </c>
      <c r="H25" s="16">
        <v>2.1132830600000001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(2051/B26*100)</f>
        <v>83.714285714285722</v>
      </c>
      <c r="D26" s="15">
        <v>399</v>
      </c>
      <c r="E26" s="14">
        <v>67.640402030000004</v>
      </c>
      <c r="F26" s="16">
        <v>2.9564381100000001</v>
      </c>
      <c r="G26" s="14">
        <v>32.359597970000003</v>
      </c>
      <c r="H26" s="16">
        <v>2.9564381100000001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(2200/B27*100)</f>
        <v>84.097859327217122</v>
      </c>
      <c r="D27" s="15">
        <v>416</v>
      </c>
      <c r="E27" s="14">
        <v>59.55810271</v>
      </c>
      <c r="F27" s="16">
        <v>2.5217272500000001</v>
      </c>
      <c r="G27" s="14">
        <v>40.44189729</v>
      </c>
      <c r="H27" s="16">
        <v>2.5217272500000001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(3204/B28*100)</f>
        <v>85.099601593625493</v>
      </c>
      <c r="D28" s="15">
        <v>561</v>
      </c>
      <c r="E28" s="14">
        <v>71.625885749999995</v>
      </c>
      <c r="F28" s="16">
        <v>2.3978473600000001</v>
      </c>
      <c r="G28" s="14">
        <v>28.374114250000002</v>
      </c>
      <c r="H28" s="16">
        <v>2.3978473600000001</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58.200386940000001</v>
      </c>
      <c r="F29" s="16">
        <v>2.2400186199999998</v>
      </c>
      <c r="G29" s="14">
        <v>41.799613059999999</v>
      </c>
      <c r="H29" s="16">
        <v>2.2400186199999998</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(1903/B30*100)</f>
        <v>84.091913389306228</v>
      </c>
      <c r="D30" s="15">
        <v>360</v>
      </c>
      <c r="E30" s="14">
        <v>50.780203190000002</v>
      </c>
      <c r="F30" s="16">
        <v>2.6011576199999999</v>
      </c>
      <c r="G30" s="14">
        <v>49.219796809999998</v>
      </c>
      <c r="H30" s="16">
        <v>2.6011576199999999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(2312/B31*100)</f>
        <v>84.072727272727278</v>
      </c>
      <c r="D31" s="15">
        <v>438</v>
      </c>
      <c r="E31" s="14">
        <v>59.840536409999999</v>
      </c>
      <c r="F31" s="16">
        <v>2.40400802</v>
      </c>
      <c r="G31" s="14">
        <v>40.159463590000001</v>
      </c>
      <c r="H31" s="16">
        <v>2.40400802</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(3086/B33*100)</f>
        <v>83.995645073489385</v>
      </c>
      <c r="D33" s="15">
        <v>588</v>
      </c>
      <c r="E33" s="14">
        <v>53.206404470000003</v>
      </c>
      <c r="F33" s="16">
        <v>2.1184939300000001</v>
      </c>
      <c r="G33" s="14">
        <v>46.793595529999997</v>
      </c>
      <c r="H33" s="16">
        <v>2.1184939300000001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(2803/B34*100)</f>
        <v>84.555052790346906</v>
      </c>
      <c r="D34" s="15">
        <v>512</v>
      </c>
      <c r="E34" s="14">
        <v>70.360401859999996</v>
      </c>
      <c r="F34" s="16">
        <v>1.80814813</v>
      </c>
      <c r="G34" s="14">
        <v>29.63959814</v>
      </c>
      <c r="H34" s="16">
        <v>1.80814813</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(2938/B35*100)</f>
        <v>83.823109843081312</v>
      </c>
      <c r="D35" s="15">
        <v>567</v>
      </c>
      <c r="E35" s="14">
        <v>56.558035340000004</v>
      </c>
      <c r="F35" s="16">
        <v>2.8110460100000001</v>
      </c>
      <c r="G35" s="14">
        <v>43.441964659999996</v>
      </c>
      <c r="H35" s="16">
        <v>2.8110460100000001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(2788/B36*100)</f>
        <v>83.673469387755105</v>
      </c>
      <c r="D36" s="15">
        <v>544</v>
      </c>
      <c r="E36" s="14">
        <v>61.993580350000002</v>
      </c>
      <c r="F36" s="16">
        <v>2.22009634</v>
      </c>
      <c r="G36" s="14">
        <v>38.006419649999998</v>
      </c>
      <c r="H36" s="16">
        <v>2.22009634</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(2309/B37*100)</f>
        <v>84.671800513384682</v>
      </c>
      <c r="D37" s="15">
        <v>418</v>
      </c>
      <c r="E37" s="14">
        <v>52.96388279</v>
      </c>
      <c r="F37" s="16">
        <v>2.34263412</v>
      </c>
      <c r="G37" s="14">
        <v>47.03611721</v>
      </c>
      <c r="H37" s="16">
        <v>2.34263412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76.480424350000007</v>
      </c>
      <c r="F39" s="16">
        <v>2.3553181699999999</v>
      </c>
      <c r="G39" s="14">
        <v>23.51957565</v>
      </c>
      <c r="H39" s="16">
        <v>2.3553181699999999</v>
      </c>
      <c r="I39" s="14" t="s">
        <v>139</v>
      </c>
      <c r="J39" s="16" t="s">
        <v>139</v>
      </c>
      <c r="K39" s="14">
        <v>0</v>
      </c>
      <c r="L39" s="16">
        <v>0</v>
      </c>
      <c r="M39" s="14">
        <v>0</v>
      </c>
      <c r="N39" s="16">
        <v>0</v>
      </c>
      <c r="O39" s="14">
        <v>0</v>
      </c>
      <c r="P39" s="16">
        <v>0</v>
      </c>
      <c r="Q39" s="14">
        <v>0</v>
      </c>
      <c r="R39" s="16">
        <v>0</v>
      </c>
    </row>
    <row r="40" spans="1:18" x14ac:dyDescent="0.25">
      <c r="A40" s="11" t="s">
        <v>173</v>
      </c>
      <c r="B40" s="13">
        <v>7235</v>
      </c>
      <c r="C40" s="14">
        <f>(6028/B40*100)</f>
        <v>83.317208016586036</v>
      </c>
      <c r="D40" s="15">
        <v>1207</v>
      </c>
      <c r="E40" s="14">
        <v>49.914913230000003</v>
      </c>
      <c r="F40" s="16">
        <v>2.0435991599999999</v>
      </c>
      <c r="G40" s="14">
        <v>50.085086769999997</v>
      </c>
      <c r="H40" s="16">
        <v>2.0435991599999999</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(2399/B41*100)</f>
        <v>83.939818054583625</v>
      </c>
      <c r="D41" s="15">
        <v>459</v>
      </c>
      <c r="E41" s="14">
        <v>48.030538559999997</v>
      </c>
      <c r="F41" s="16">
        <v>2.5420467699999998</v>
      </c>
      <c r="G41" s="14">
        <v>51.969461440000003</v>
      </c>
      <c r="H41" s="16">
        <v>2.5420467699999998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83.857789826805245</v>
      </c>
      <c r="D42" s="15">
        <f>IF(COUNT(D7:D41) &gt; 0, AVERAGE(D7:D41), "—")</f>
        <v>590.9375</v>
      </c>
      <c r="E42" s="14">
        <f>IF(COUNT(E7:E41) &gt; 0, AVERAGE(E7:E41), "—")</f>
        <v>57.5184397465625</v>
      </c>
      <c r="F42" s="16">
        <f>IF(COUNT(F7:F41) &gt; 0, SQRT(SUMSQ(F7:F41)/(COUNT(F7:F41)*COUNT(F7:F41)) ), "—")</f>
        <v>0.41293291117533648</v>
      </c>
      <c r="G42" s="14">
        <f>IF(COUNT(G7:G41) &gt; 0, AVERAGE(G7:G41), "—")</f>
        <v>42.4815602534375</v>
      </c>
      <c r="H42" s="16">
        <f>IF(COUNT(H7:H41) &gt; 0, SQRT(SUMSQ(H7:H41)/(COUNT(H7:H41)*COUNT(H7:H41)) ), "—")</f>
        <v>0.41293291117533648</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(9799/B46*100)</f>
        <v>88.534513913986274</v>
      </c>
      <c r="D46" s="15">
        <v>1269</v>
      </c>
      <c r="E46" s="14">
        <v>69.379266810000004</v>
      </c>
      <c r="F46" s="16">
        <v>1.61855792</v>
      </c>
      <c r="G46" s="14">
        <v>30.620733189999999</v>
      </c>
      <c r="H46" s="16">
        <v>1.61855792</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(2632/B47*100)</f>
        <v>84.76650563607086</v>
      </c>
      <c r="D47" s="15">
        <v>473</v>
      </c>
      <c r="E47" s="14">
        <v>69.204289349999996</v>
      </c>
      <c r="F47" s="16">
        <v>2.61219322</v>
      </c>
      <c r="G47" s="14">
        <v>30.79571065</v>
      </c>
      <c r="H47" s="16">
        <v>2.61219322</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(4298/B48*100)</f>
        <v>83.310719131614647</v>
      </c>
      <c r="D48" s="15">
        <v>861</v>
      </c>
      <c r="E48" s="14">
        <v>58.298724649999997</v>
      </c>
      <c r="F48" s="16">
        <v>2.35542556</v>
      </c>
      <c r="G48" s="14">
        <v>41.701275350000003</v>
      </c>
      <c r="H48" s="16">
        <v>2.35542556</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(4744/B50*100)</f>
        <v>84.158240198687238</v>
      </c>
      <c r="D50" s="15">
        <v>893</v>
      </c>
      <c r="E50" s="14">
        <v>72.645236240000003</v>
      </c>
      <c r="F50" s="16">
        <v>2.1316347699999998</v>
      </c>
      <c r="G50" s="14">
        <v>27.354763760000001</v>
      </c>
      <c r="H50" s="16">
        <v>2.1316347699999998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(2890/B51*100)</f>
        <v>85.705812574139969</v>
      </c>
      <c r="D51" s="15">
        <v>482</v>
      </c>
      <c r="E51" s="14">
        <v>69.415437530000005</v>
      </c>
      <c r="F51" s="16">
        <v>2.4805259099999999</v>
      </c>
      <c r="G51" s="14">
        <v>30.584562470000002</v>
      </c>
      <c r="H51" s="16">
        <v>2.4805259099999999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(2357/B52*100)</f>
        <v>84.298998569384835</v>
      </c>
      <c r="D52" s="15">
        <v>439</v>
      </c>
      <c r="E52" s="14">
        <v>60.452550029999998</v>
      </c>
      <c r="F52" s="16">
        <v>2.1153875599999998</v>
      </c>
      <c r="G52" s="14">
        <v>39.547449970000002</v>
      </c>
      <c r="H52" s="16">
        <v>2.1153875599999998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(2360/B53*100)</f>
        <v>83.955887584489503</v>
      </c>
      <c r="D53" s="15">
        <v>451</v>
      </c>
      <c r="E53" s="14">
        <v>62.76261341</v>
      </c>
      <c r="F53" s="16">
        <v>2.27438334</v>
      </c>
      <c r="G53" s="14">
        <v>37.23738659</v>
      </c>
      <c r="H53" s="16">
        <v>2.27438334</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(2248/B56*100)</f>
        <v>83.75558867362146</v>
      </c>
      <c r="D56" s="15">
        <v>436</v>
      </c>
      <c r="E56" s="14">
        <v>46.547495599999998</v>
      </c>
      <c r="F56" s="16">
        <v>2.7264432099999998</v>
      </c>
      <c r="G56" s="14">
        <v>53.452504400000002</v>
      </c>
      <c r="H56" s="16">
        <v>2.7264432099999998</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(2800/B61*100)</f>
        <v>84.235860409145616</v>
      </c>
      <c r="D61" s="15">
        <v>524</v>
      </c>
      <c r="E61" s="14">
        <v>59.707734729999999</v>
      </c>
      <c r="F61" s="16">
        <v>2.6556781699999998</v>
      </c>
      <c r="G61" s="14">
        <v>40.292265270000001</v>
      </c>
      <c r="H61" s="16">
        <v>2.6556781699999998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(1857/B62*100)</f>
        <v>82.680320569902051</v>
      </c>
      <c r="D62" s="15">
        <v>389</v>
      </c>
      <c r="E62" s="14">
        <v>46.015314050000001</v>
      </c>
      <c r="F62" s="16">
        <v>2.09547829</v>
      </c>
      <c r="G62" s="14">
        <v>53.984685949999999</v>
      </c>
      <c r="H62" s="16">
        <v>2.09547829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(2461/B66*100)</f>
        <v>85.038009675190054</v>
      </c>
      <c r="D66" s="15">
        <v>433</v>
      </c>
      <c r="E66" s="14">
        <v>70.161994539999995</v>
      </c>
      <c r="F66" s="16">
        <v>1.9893100500000001</v>
      </c>
      <c r="G66" s="14">
        <v>29.838005460000002</v>
      </c>
      <c r="H66" s="16">
        <v>1.9893100500000001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(3020/B67*100)</f>
        <v>86.015380233551696</v>
      </c>
      <c r="D67" s="15">
        <v>491</v>
      </c>
      <c r="E67" s="14">
        <v>70.565428389999994</v>
      </c>
      <c r="F67" s="16">
        <v>2.3500319699999999</v>
      </c>
      <c r="G67" s="14">
        <v>29.434571609999999</v>
      </c>
      <c r="H67" s="16">
        <v>2.3500319699999999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(2460/B70*100)</f>
        <v>83.987709115739165</v>
      </c>
      <c r="D70" s="15">
        <v>469</v>
      </c>
      <c r="E70" s="14">
        <v>68.758949700000002</v>
      </c>
      <c r="F70" s="16">
        <v>2.4959578599999999</v>
      </c>
      <c r="G70" s="14">
        <v>31.241050300000001</v>
      </c>
      <c r="H70" s="16">
        <v>2.4959578599999999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(3214/B72*100)</f>
        <v>82.643353047055797</v>
      </c>
      <c r="D72" s="15">
        <v>675</v>
      </c>
      <c r="E72" s="14">
        <v>43.30778565</v>
      </c>
      <c r="F72" s="16">
        <v>2.3063034</v>
      </c>
      <c r="G72" s="14">
        <v>56.69221435</v>
      </c>
      <c r="H72" s="16">
        <v>2.3063034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61.464879879999998</v>
      </c>
      <c r="F73" s="16">
        <v>2.4848586500000001</v>
      </c>
      <c r="G73" s="14">
        <v>38.535120120000002</v>
      </c>
      <c r="H73" s="16">
        <v>2.4848586500000001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(2058/B75*100)</f>
        <v>85.536159600997507</v>
      </c>
      <c r="D75" s="15">
        <v>348</v>
      </c>
      <c r="E75" s="14">
        <v>77.688762460000007</v>
      </c>
      <c r="F75" s="16">
        <v>2.34940127</v>
      </c>
      <c r="G75" s="14">
        <v>22.31123754</v>
      </c>
      <c r="H75" s="16">
        <v>2.34940127</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(5875/B76*100)</f>
        <v>83.309699376063534</v>
      </c>
      <c r="D76" s="15">
        <v>1177</v>
      </c>
      <c r="E76" s="14">
        <v>65.964595489999994</v>
      </c>
      <c r="F76" s="16">
        <v>1.5247304100000001</v>
      </c>
      <c r="G76" s="14">
        <v>34.035404509999999</v>
      </c>
      <c r="H76" s="16">
        <v>1.5247304100000001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(2486/B77*100)</f>
        <v>85.488308115543333</v>
      </c>
      <c r="D77" s="15">
        <v>422</v>
      </c>
      <c r="E77" s="14">
        <v>72.186623940000004</v>
      </c>
      <c r="F77" s="16">
        <v>2.3834878499999999</v>
      </c>
      <c r="G77" s="14">
        <v>27.81337606</v>
      </c>
      <c r="H77" s="16">
        <v>2.3834878499999999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61.655016740000001</v>
      </c>
      <c r="F81" s="16">
        <v>2.2926222599999999</v>
      </c>
      <c r="G81" s="14">
        <v>38.344983259999999</v>
      </c>
      <c r="H81" s="16">
        <v>2.2926222599999999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330</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(6194/B7*100)</f>
        <v>84.077643545540923</v>
      </c>
      <c r="D7" s="15">
        <v>1173</v>
      </c>
      <c r="E7" s="14">
        <v>29.900375560000001</v>
      </c>
      <c r="F7" s="16">
        <v>1.72556178</v>
      </c>
      <c r="G7" s="14">
        <v>70.099624439999999</v>
      </c>
      <c r="H7" s="16">
        <v>1.72556178</v>
      </c>
      <c r="I7" s="14" t="s">
        <v>139</v>
      </c>
      <c r="J7" s="16" t="s">
        <v>139</v>
      </c>
      <c r="K7" s="14">
        <v>0</v>
      </c>
      <c r="L7" s="16">
        <v>0</v>
      </c>
      <c r="M7" s="14">
        <v>0</v>
      </c>
      <c r="N7" s="16">
        <v>0</v>
      </c>
      <c r="O7" s="14">
        <v>0</v>
      </c>
      <c r="P7" s="16">
        <v>0</v>
      </c>
      <c r="Q7" s="14">
        <v>0</v>
      </c>
      <c r="R7" s="16">
        <v>0</v>
      </c>
    </row>
    <row r="8" spans="1:18" x14ac:dyDescent="0.25">
      <c r="A8" s="11" t="s">
        <v>140</v>
      </c>
      <c r="B8" s="13">
        <v>3564</v>
      </c>
      <c r="C8" s="14">
        <f>(2968/B8*100)</f>
        <v>83.277216610549942</v>
      </c>
      <c r="D8" s="15">
        <v>596</v>
      </c>
      <c r="E8" s="14">
        <v>41.194528130000002</v>
      </c>
      <c r="F8" s="16">
        <v>2.3360989399999998</v>
      </c>
      <c r="G8" s="14">
        <v>58.805471869999998</v>
      </c>
      <c r="H8" s="16">
        <v>2.3360989399999998</v>
      </c>
      <c r="I8" s="14" t="s">
        <v>139</v>
      </c>
      <c r="J8" s="16" t="s">
        <v>139</v>
      </c>
      <c r="K8" s="14">
        <v>0</v>
      </c>
      <c r="L8" s="16">
        <v>0</v>
      </c>
      <c r="M8" s="14">
        <v>0</v>
      </c>
      <c r="N8" s="16">
        <v>0</v>
      </c>
      <c r="O8" s="14">
        <v>0</v>
      </c>
      <c r="P8" s="16">
        <v>0</v>
      </c>
      <c r="Q8" s="14">
        <v>0</v>
      </c>
      <c r="R8" s="16">
        <v>0</v>
      </c>
    </row>
    <row r="9" spans="1:18" x14ac:dyDescent="0.25">
      <c r="A9" s="11" t="s">
        <v>141</v>
      </c>
      <c r="B9" s="13">
        <v>4899</v>
      </c>
      <c r="C9" s="14">
        <f>(4133/B9*100)</f>
        <v>84.364155950193918</v>
      </c>
      <c r="D9" s="15">
        <v>766</v>
      </c>
      <c r="E9" s="14">
        <v>38.27653256</v>
      </c>
      <c r="F9" s="16">
        <v>2.13778325</v>
      </c>
      <c r="G9" s="14">
        <v>61.72346744</v>
      </c>
      <c r="H9" s="16">
        <v>2.13778325</v>
      </c>
      <c r="I9" s="14" t="s">
        <v>139</v>
      </c>
      <c r="J9" s="16" t="s">
        <v>139</v>
      </c>
      <c r="K9" s="14">
        <v>0</v>
      </c>
      <c r="L9" s="16">
        <v>0</v>
      </c>
      <c r="M9" s="14">
        <v>0</v>
      </c>
      <c r="N9" s="16">
        <v>0</v>
      </c>
      <c r="O9" s="14">
        <v>0</v>
      </c>
      <c r="P9" s="16">
        <v>0</v>
      </c>
      <c r="Q9" s="14">
        <v>0</v>
      </c>
      <c r="R9" s="16">
        <v>0</v>
      </c>
    </row>
    <row r="10" spans="1:18" x14ac:dyDescent="0.25">
      <c r="A10" s="11" t="s">
        <v>142</v>
      </c>
      <c r="B10" s="13">
        <v>10036</v>
      </c>
      <c r="C10" s="14">
        <f>(8378/B10*100)</f>
        <v>83.479473893981677</v>
      </c>
      <c r="D10" s="15">
        <v>1658</v>
      </c>
      <c r="E10" s="14">
        <v>32.842366550000001</v>
      </c>
      <c r="F10" s="16">
        <v>1.76178211</v>
      </c>
      <c r="G10" s="14">
        <v>67.157633450000006</v>
      </c>
      <c r="H10" s="16">
        <v>1.76178211</v>
      </c>
      <c r="I10" s="14" t="s">
        <v>139</v>
      </c>
      <c r="J10" s="16" t="s">
        <v>139</v>
      </c>
      <c r="K10" s="14">
        <v>0</v>
      </c>
      <c r="L10" s="16">
        <v>0</v>
      </c>
      <c r="M10" s="14">
        <v>0</v>
      </c>
      <c r="N10" s="16">
        <v>0</v>
      </c>
      <c r="O10" s="14">
        <v>0</v>
      </c>
      <c r="P10" s="16">
        <v>0</v>
      </c>
      <c r="Q10" s="14">
        <v>0</v>
      </c>
      <c r="R10" s="16">
        <v>0</v>
      </c>
    </row>
    <row r="11" spans="1:18" x14ac:dyDescent="0.25">
      <c r="A11" s="11" t="s">
        <v>143</v>
      </c>
      <c r="B11" s="13">
        <v>3553</v>
      </c>
      <c r="C11" s="14">
        <f>(2994/B11*100)</f>
        <v>84.266816774556702</v>
      </c>
      <c r="D11" s="15">
        <v>559</v>
      </c>
      <c r="E11" s="14">
        <v>42.871323220000001</v>
      </c>
      <c r="F11" s="16">
        <v>2.6908029099999999</v>
      </c>
      <c r="G11" s="14">
        <v>57.128676779999999</v>
      </c>
      <c r="H11" s="16">
        <v>2.6908029099999999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(2877/B12*100)</f>
        <v>82.862903225806448</v>
      </c>
      <c r="D12" s="15">
        <v>595</v>
      </c>
      <c r="E12" s="14">
        <v>39.089117719999997</v>
      </c>
      <c r="F12" s="16">
        <v>2.2165612299999999</v>
      </c>
      <c r="G12" s="14">
        <v>60.910882280000003</v>
      </c>
      <c r="H12" s="16">
        <v>2.2165612299999999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(3022/B13*100)</f>
        <v>84.911491992132625</v>
      </c>
      <c r="D13" s="15">
        <v>537</v>
      </c>
      <c r="E13" s="14">
        <v>35.628863090000003</v>
      </c>
      <c r="F13" s="16">
        <v>2.5067352199999999</v>
      </c>
      <c r="G13" s="14">
        <v>64.371136910000004</v>
      </c>
      <c r="H13" s="16">
        <v>2.5067352199999999</v>
      </c>
      <c r="I13" s="14" t="s">
        <v>139</v>
      </c>
      <c r="J13" s="16" t="s">
        <v>139</v>
      </c>
      <c r="K13" s="14">
        <v>0</v>
      </c>
      <c r="L13" s="16">
        <v>0</v>
      </c>
      <c r="M13" s="14">
        <v>0</v>
      </c>
      <c r="N13" s="16">
        <v>0</v>
      </c>
      <c r="O13" s="14">
        <v>0</v>
      </c>
      <c r="P13" s="16">
        <v>0</v>
      </c>
      <c r="Q13" s="14">
        <v>0</v>
      </c>
      <c r="R13" s="16">
        <v>0</v>
      </c>
    </row>
    <row r="14" spans="1:18" x14ac:dyDescent="0.25">
      <c r="A14" s="11" t="s">
        <v>146</v>
      </c>
      <c r="B14" s="13">
        <v>2799</v>
      </c>
      <c r="C14" s="14">
        <f>(2330/B14*100)</f>
        <v>83.244015719899963</v>
      </c>
      <c r="D14" s="15">
        <v>469</v>
      </c>
      <c r="E14" s="14">
        <v>27.247560010000001</v>
      </c>
      <c r="F14" s="16">
        <v>2.06505092</v>
      </c>
      <c r="G14" s="14">
        <v>72.752439989999999</v>
      </c>
      <c r="H14" s="16">
        <v>2.06505092</v>
      </c>
      <c r="I14" s="14" t="s">
        <v>139</v>
      </c>
      <c r="J14" s="16" t="s">
        <v>139</v>
      </c>
      <c r="K14" s="14">
        <v>0</v>
      </c>
      <c r="L14" s="16">
        <v>0</v>
      </c>
      <c r="M14" s="14">
        <v>0</v>
      </c>
      <c r="N14" s="16">
        <v>0</v>
      </c>
      <c r="O14" s="14">
        <v>0</v>
      </c>
      <c r="P14" s="16">
        <v>0</v>
      </c>
      <c r="Q14" s="14">
        <v>0</v>
      </c>
      <c r="R14" s="16">
        <v>0</v>
      </c>
    </row>
    <row r="15" spans="1:18" x14ac:dyDescent="0.25">
      <c r="A15" s="11" t="s">
        <v>147</v>
      </c>
      <c r="B15" s="13">
        <v>3019</v>
      </c>
      <c r="C15" s="14">
        <f>(2518/B15*100)</f>
        <v>83.405101026830081</v>
      </c>
      <c r="D15" s="15">
        <v>501</v>
      </c>
      <c r="E15" s="14">
        <v>27.525868299999999</v>
      </c>
      <c r="F15" s="16">
        <v>1.98871949</v>
      </c>
      <c r="G15" s="14">
        <v>72.474131700000001</v>
      </c>
      <c r="H15" s="16">
        <v>1.98871949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(2533/B16*100)</f>
        <v>84.517851184517852</v>
      </c>
      <c r="D16" s="15">
        <v>464</v>
      </c>
      <c r="E16" s="14">
        <v>38.856265530000002</v>
      </c>
      <c r="F16" s="16">
        <v>1.9341554299999999</v>
      </c>
      <c r="G16" s="14">
        <v>61.143734469999998</v>
      </c>
      <c r="H16" s="16">
        <v>1.9341554299999999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(2815/B17*100)</f>
        <v>85.122467493196254</v>
      </c>
      <c r="D17" s="15">
        <v>492</v>
      </c>
      <c r="E17" s="14">
        <v>38.140102829999996</v>
      </c>
      <c r="F17" s="16">
        <v>2.2902298600000002</v>
      </c>
      <c r="G17" s="14">
        <v>61.859897170000004</v>
      </c>
      <c r="H17" s="16">
        <v>2.2902298600000002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(2356/B18*100)</f>
        <v>83.368719037508839</v>
      </c>
      <c r="D18" s="15">
        <v>470</v>
      </c>
      <c r="E18" s="14">
        <v>53.403591130000002</v>
      </c>
      <c r="F18" s="16">
        <v>2.6685027300000002</v>
      </c>
      <c r="G18" s="14">
        <v>46.596408869999998</v>
      </c>
      <c r="H18" s="16">
        <v>2.6685027300000002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(2359/B19*100)</f>
        <v>84.009971509971521</v>
      </c>
      <c r="D19" s="15">
        <v>449</v>
      </c>
      <c r="E19" s="14">
        <v>48.71804684</v>
      </c>
      <c r="F19" s="16">
        <v>2.4695497899999999</v>
      </c>
      <c r="G19" s="14">
        <v>51.28195316</v>
      </c>
      <c r="H19" s="16">
        <v>2.4695497899999999</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(1370/B20*100)</f>
        <v>84.049079754601223</v>
      </c>
      <c r="D20" s="15">
        <v>260</v>
      </c>
      <c r="E20" s="14">
        <v>42.127633090000003</v>
      </c>
      <c r="F20" s="16">
        <v>3.16312054</v>
      </c>
      <c r="G20" s="14">
        <v>57.872366909999997</v>
      </c>
      <c r="H20" s="16">
        <v>3.16312054</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(2460/B22*100)</f>
        <v>83.930399181166834</v>
      </c>
      <c r="D22" s="15">
        <v>471</v>
      </c>
      <c r="E22" s="14">
        <v>43.751233880000001</v>
      </c>
      <c r="F22" s="16">
        <v>2.1998309800000002</v>
      </c>
      <c r="G22" s="14">
        <v>56.248766119999999</v>
      </c>
      <c r="H22" s="16">
        <v>2.1998309800000002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(4825/B23*100)</f>
        <v>83.318943187705059</v>
      </c>
      <c r="D23" s="15">
        <v>966</v>
      </c>
      <c r="E23" s="14">
        <v>42.214544449999998</v>
      </c>
      <c r="F23" s="16">
        <v>2.1308008200000002</v>
      </c>
      <c r="G23" s="14">
        <v>57.785455550000002</v>
      </c>
      <c r="H23" s="16">
        <v>2.1308008200000002</v>
      </c>
      <c r="I23" s="14" t="s">
        <v>139</v>
      </c>
      <c r="J23" s="16" t="s">
        <v>139</v>
      </c>
      <c r="K23" s="14">
        <v>0</v>
      </c>
      <c r="L23" s="16">
        <v>0</v>
      </c>
      <c r="M23" s="14">
        <v>0</v>
      </c>
      <c r="N23" s="16">
        <v>0</v>
      </c>
      <c r="O23" s="14">
        <v>0</v>
      </c>
      <c r="P23" s="16">
        <v>0</v>
      </c>
      <c r="Q23" s="14">
        <v>0</v>
      </c>
      <c r="R23" s="16">
        <v>0</v>
      </c>
    </row>
    <row r="24" spans="1:18" x14ac:dyDescent="0.25">
      <c r="A24" s="11" t="s">
        <v>157</v>
      </c>
      <c r="B24" s="13">
        <v>3338</v>
      </c>
      <c r="C24" s="14">
        <f>(2784/B24*100)</f>
        <v>83.403235470341514</v>
      </c>
      <c r="D24" s="15">
        <v>554</v>
      </c>
      <c r="E24" s="14">
        <v>16.126231090000001</v>
      </c>
      <c r="F24" s="16">
        <v>1.60787868</v>
      </c>
      <c r="G24" s="14">
        <v>83.873768909999995</v>
      </c>
      <c r="H24" s="16">
        <v>1.60787868</v>
      </c>
      <c r="I24" s="14" t="s">
        <v>139</v>
      </c>
      <c r="J24" s="16" t="s">
        <v>139</v>
      </c>
      <c r="K24" s="14">
        <v>0</v>
      </c>
      <c r="L24" s="16">
        <v>0</v>
      </c>
      <c r="M24" s="14">
        <v>0</v>
      </c>
      <c r="N24" s="16">
        <v>0</v>
      </c>
      <c r="O24" s="14">
        <v>0</v>
      </c>
      <c r="P24" s="16">
        <v>0</v>
      </c>
      <c r="Q24" s="14">
        <v>0</v>
      </c>
      <c r="R24" s="16">
        <v>0</v>
      </c>
    </row>
    <row r="25" spans="1:18" x14ac:dyDescent="0.25">
      <c r="A25" s="11" t="s">
        <v>158</v>
      </c>
      <c r="B25" s="13">
        <v>2912</v>
      </c>
      <c r="C25" s="14">
        <f>(2409/B25*100)</f>
        <v>82.72664835164835</v>
      </c>
      <c r="D25" s="15">
        <v>503</v>
      </c>
      <c r="E25" s="14">
        <v>29.902819279999999</v>
      </c>
      <c r="F25" s="16">
        <v>1.97821151</v>
      </c>
      <c r="G25" s="14">
        <v>70.097180719999997</v>
      </c>
      <c r="H25" s="16">
        <v>1.97821151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(2051/B26*100)</f>
        <v>83.714285714285722</v>
      </c>
      <c r="D26" s="15">
        <v>399</v>
      </c>
      <c r="E26" s="14">
        <v>42.656339160000002</v>
      </c>
      <c r="F26" s="16">
        <v>2.37563499</v>
      </c>
      <c r="G26" s="14">
        <v>57.343660839999998</v>
      </c>
      <c r="H26" s="16">
        <v>2.37563499</v>
      </c>
      <c r="I26" s="14" t="s">
        <v>139</v>
      </c>
      <c r="J26" s="16" t="s">
        <v>139</v>
      </c>
      <c r="K26" s="14">
        <v>0</v>
      </c>
      <c r="L26" s="16">
        <v>0</v>
      </c>
      <c r="M26" s="14">
        <v>0</v>
      </c>
      <c r="N26" s="16">
        <v>0</v>
      </c>
      <c r="O26" s="14">
        <v>0</v>
      </c>
      <c r="P26" s="16">
        <v>0</v>
      </c>
      <c r="Q26" s="14">
        <v>0</v>
      </c>
      <c r="R26" s="16">
        <v>0</v>
      </c>
    </row>
    <row r="27" spans="1:18" x14ac:dyDescent="0.25">
      <c r="A27" s="11" t="s">
        <v>160</v>
      </c>
      <c r="B27" s="13">
        <v>2616</v>
      </c>
      <c r="C27" s="14">
        <f>(2200/B27*100)</f>
        <v>84.097859327217122</v>
      </c>
      <c r="D27" s="15">
        <v>416</v>
      </c>
      <c r="E27" s="14">
        <v>45.229302359999998</v>
      </c>
      <c r="F27" s="16">
        <v>2.4147794</v>
      </c>
      <c r="G27" s="14">
        <v>54.770697640000002</v>
      </c>
      <c r="H27" s="16">
        <v>2.4147794</v>
      </c>
      <c r="I27" s="14" t="s">
        <v>139</v>
      </c>
      <c r="J27" s="16" t="s">
        <v>139</v>
      </c>
      <c r="K27" s="14">
        <v>0</v>
      </c>
      <c r="L27" s="16">
        <v>0</v>
      </c>
      <c r="M27" s="14">
        <v>0</v>
      </c>
      <c r="N27" s="16">
        <v>0</v>
      </c>
      <c r="O27" s="14">
        <v>0</v>
      </c>
      <c r="P27" s="16">
        <v>0</v>
      </c>
      <c r="Q27" s="14">
        <v>0</v>
      </c>
      <c r="R27" s="16">
        <v>0</v>
      </c>
    </row>
    <row r="28" spans="1:18" x14ac:dyDescent="0.25">
      <c r="A28" s="11" t="s">
        <v>161</v>
      </c>
      <c r="B28" s="13">
        <v>3765</v>
      </c>
      <c r="C28" s="14">
        <f>(3204/B28*100)</f>
        <v>85.099601593625493</v>
      </c>
      <c r="D28" s="15">
        <v>561</v>
      </c>
      <c r="E28" s="14">
        <v>45.31683014</v>
      </c>
      <c r="F28" s="16">
        <v>2.30528347</v>
      </c>
      <c r="G28" s="14">
        <v>54.68316986</v>
      </c>
      <c r="H28" s="16">
        <v>2.30528347</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31.326116939999999</v>
      </c>
      <c r="F29" s="16">
        <v>2.5907742800000002</v>
      </c>
      <c r="G29" s="14">
        <v>68.673883059999994</v>
      </c>
      <c r="H29" s="16">
        <v>2.5907742800000002</v>
      </c>
      <c r="I29" s="14" t="s">
        <v>139</v>
      </c>
      <c r="J29" s="16" t="s">
        <v>139</v>
      </c>
      <c r="K29" s="14">
        <v>0</v>
      </c>
      <c r="L29" s="16">
        <v>0</v>
      </c>
      <c r="M29" s="14">
        <v>0</v>
      </c>
      <c r="N29" s="16">
        <v>0</v>
      </c>
      <c r="O29" s="14">
        <v>0</v>
      </c>
      <c r="P29" s="16">
        <v>0</v>
      </c>
      <c r="Q29" s="14">
        <v>0</v>
      </c>
      <c r="R29" s="16">
        <v>0</v>
      </c>
    </row>
    <row r="30" spans="1:18" x14ac:dyDescent="0.25">
      <c r="A30" s="11" t="s">
        <v>163</v>
      </c>
      <c r="B30" s="13">
        <v>2263</v>
      </c>
      <c r="C30" s="14">
        <f>(1903/B30*100)</f>
        <v>84.091913389306228</v>
      </c>
      <c r="D30" s="15">
        <v>360</v>
      </c>
      <c r="E30" s="14">
        <v>32.236754410000003</v>
      </c>
      <c r="F30" s="16">
        <v>2.5375081700000002</v>
      </c>
      <c r="G30" s="14">
        <v>67.763245589999997</v>
      </c>
      <c r="H30" s="16">
        <v>2.5375081700000002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(2312/B31*100)</f>
        <v>84.072727272727278</v>
      </c>
      <c r="D31" s="15">
        <v>438</v>
      </c>
      <c r="E31" s="14">
        <v>40.948259829999998</v>
      </c>
      <c r="F31" s="16">
        <v>2.1165413100000001</v>
      </c>
      <c r="G31" s="14">
        <v>59.051740170000002</v>
      </c>
      <c r="H31" s="16">
        <v>2.1165413100000001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(3086/B33*100)</f>
        <v>83.995645073489385</v>
      </c>
      <c r="D33" s="15">
        <v>588</v>
      </c>
      <c r="E33" s="14">
        <v>39.979822810000002</v>
      </c>
      <c r="F33" s="16">
        <v>2.30442108</v>
      </c>
      <c r="G33" s="14">
        <v>60.020177189999998</v>
      </c>
      <c r="H33" s="16">
        <v>2.30442108</v>
      </c>
      <c r="I33" s="14" t="s">
        <v>139</v>
      </c>
      <c r="J33" s="16" t="s">
        <v>139</v>
      </c>
      <c r="K33" s="14">
        <v>0</v>
      </c>
      <c r="L33" s="16">
        <v>0</v>
      </c>
      <c r="M33" s="14">
        <v>0</v>
      </c>
      <c r="N33" s="16">
        <v>0</v>
      </c>
      <c r="O33" s="14">
        <v>0</v>
      </c>
      <c r="P33" s="16">
        <v>0</v>
      </c>
      <c r="Q33" s="14">
        <v>0</v>
      </c>
      <c r="R33" s="16">
        <v>0</v>
      </c>
    </row>
    <row r="34" spans="1:18" x14ac:dyDescent="0.25">
      <c r="A34" s="11" t="s">
        <v>167</v>
      </c>
      <c r="B34" s="13">
        <v>3315</v>
      </c>
      <c r="C34" s="14">
        <f>(2803/B34*100)</f>
        <v>84.555052790346906</v>
      </c>
      <c r="D34" s="15">
        <v>512</v>
      </c>
      <c r="E34" s="14">
        <v>44.342892659999997</v>
      </c>
      <c r="F34" s="16">
        <v>2.3738114399999999</v>
      </c>
      <c r="G34" s="14">
        <v>55.657107340000003</v>
      </c>
      <c r="H34" s="16">
        <v>2.3738114399999999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(2938/B35*100)</f>
        <v>83.823109843081312</v>
      </c>
      <c r="D35" s="15">
        <v>567</v>
      </c>
      <c r="E35" s="14">
        <v>45.277917219999999</v>
      </c>
      <c r="F35" s="16">
        <v>2.7955827599999998</v>
      </c>
      <c r="G35" s="14">
        <v>54.722082780000001</v>
      </c>
      <c r="H35" s="16">
        <v>2.7955827599999998</v>
      </c>
      <c r="I35" s="14" t="s">
        <v>139</v>
      </c>
      <c r="J35" s="16" t="s">
        <v>139</v>
      </c>
      <c r="K35" s="14">
        <v>0</v>
      </c>
      <c r="L35" s="16">
        <v>0</v>
      </c>
      <c r="M35" s="14">
        <v>0</v>
      </c>
      <c r="N35" s="16">
        <v>0</v>
      </c>
      <c r="O35" s="14">
        <v>0</v>
      </c>
      <c r="P35" s="16">
        <v>0</v>
      </c>
      <c r="Q35" s="14">
        <v>0</v>
      </c>
      <c r="R35" s="16">
        <v>0</v>
      </c>
    </row>
    <row r="36" spans="1:18" x14ac:dyDescent="0.25">
      <c r="A36" s="11" t="s">
        <v>169</v>
      </c>
      <c r="B36" s="13">
        <v>3332</v>
      </c>
      <c r="C36" s="14">
        <f>(2788/B36*100)</f>
        <v>83.673469387755105</v>
      </c>
      <c r="D36" s="15">
        <v>544</v>
      </c>
      <c r="E36" s="14">
        <v>39.837609200000003</v>
      </c>
      <c r="F36" s="16">
        <v>2.03312822</v>
      </c>
      <c r="G36" s="14">
        <v>60.162390799999997</v>
      </c>
      <c r="H36" s="16">
        <v>2.03312822</v>
      </c>
      <c r="I36" s="14" t="s">
        <v>139</v>
      </c>
      <c r="J36" s="16" t="s">
        <v>139</v>
      </c>
      <c r="K36" s="14">
        <v>0</v>
      </c>
      <c r="L36" s="16">
        <v>0</v>
      </c>
      <c r="M36" s="14">
        <v>0</v>
      </c>
      <c r="N36" s="16">
        <v>0</v>
      </c>
      <c r="O36" s="14">
        <v>0</v>
      </c>
      <c r="P36" s="16">
        <v>0</v>
      </c>
      <c r="Q36" s="14">
        <v>0</v>
      </c>
      <c r="R36" s="16">
        <v>0</v>
      </c>
    </row>
    <row r="37" spans="1:18" x14ac:dyDescent="0.25">
      <c r="A37" s="11" t="s">
        <v>170</v>
      </c>
      <c r="B37" s="13">
        <v>2727</v>
      </c>
      <c r="C37" s="14">
        <f>(2309/B37*100)</f>
        <v>84.671800513384682</v>
      </c>
      <c r="D37" s="15">
        <v>418</v>
      </c>
      <c r="E37" s="14">
        <v>35.374613629999999</v>
      </c>
      <c r="F37" s="16">
        <v>2.3493003300000002</v>
      </c>
      <c r="G37" s="14">
        <v>64.625386370000001</v>
      </c>
      <c r="H37" s="16">
        <v>2.3493003300000002</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(2449/B39*100)</f>
        <v>82.820426107541422</v>
      </c>
      <c r="D39" s="15">
        <v>508</v>
      </c>
      <c r="E39" s="14">
        <v>45.182959859999997</v>
      </c>
      <c r="F39" s="16">
        <v>3.14658134</v>
      </c>
      <c r="G39" s="14">
        <v>54.817040140000003</v>
      </c>
      <c r="H39" s="16">
        <v>3.14658134</v>
      </c>
      <c r="I39" s="14" t="s">
        <v>139</v>
      </c>
      <c r="J39" s="16" t="s">
        <v>139</v>
      </c>
      <c r="K39" s="14">
        <v>0</v>
      </c>
      <c r="L39" s="16">
        <v>0</v>
      </c>
      <c r="M39" s="14">
        <v>0</v>
      </c>
      <c r="N39" s="16">
        <v>0</v>
      </c>
      <c r="O39" s="14">
        <v>0</v>
      </c>
      <c r="P39" s="16">
        <v>0</v>
      </c>
      <c r="Q39" s="14">
        <v>0</v>
      </c>
      <c r="R39" s="16">
        <v>0</v>
      </c>
    </row>
    <row r="40" spans="1:18" x14ac:dyDescent="0.25">
      <c r="A40" s="11" t="s">
        <v>173</v>
      </c>
      <c r="B40" s="13">
        <v>7235</v>
      </c>
      <c r="C40" s="14">
        <f>(6028/B40*100)</f>
        <v>83.317208016586036</v>
      </c>
      <c r="D40" s="15">
        <v>1207</v>
      </c>
      <c r="E40" s="14">
        <v>33.988231200000001</v>
      </c>
      <c r="F40" s="16">
        <v>2.2782394899999998</v>
      </c>
      <c r="G40" s="14">
        <v>66.011768799999999</v>
      </c>
      <c r="H40" s="16">
        <v>2.2782394899999998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(2399/B41*100)</f>
        <v>83.939818054583625</v>
      </c>
      <c r="D41" s="15">
        <v>459</v>
      </c>
      <c r="E41" s="14">
        <v>38.065951910000003</v>
      </c>
      <c r="F41" s="16">
        <v>2.0816406199999999</v>
      </c>
      <c r="G41" s="14">
        <v>61.934048089999997</v>
      </c>
      <c r="H41" s="16">
        <v>2.0816406199999999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83.857789826805245</v>
      </c>
      <c r="D42" s="15">
        <f>IF(COUNT(D7:D41) &gt; 0, AVERAGE(D7:D41), "—")</f>
        <v>590.9375</v>
      </c>
      <c r="E42" s="14">
        <f>IF(COUNT(E7:E41) &gt; 0, AVERAGE(E7:E41), "—")</f>
        <v>38.361893893437504</v>
      </c>
      <c r="F42" s="16">
        <f>IF(COUNT(F7:F41) &gt; 0, SQRT(SUMSQ(F7:F41)/(COUNT(F7:F41)*COUNT(F7:F41)) ), "—")</f>
        <v>0.41116354004499772</v>
      </c>
      <c r="G42" s="14">
        <f>IF(COUNT(G7:G41) &gt; 0, AVERAGE(G7:G41), "—")</f>
        <v>61.638106106562496</v>
      </c>
      <c r="H42" s="16">
        <f>IF(COUNT(H7:H41) &gt; 0, SQRT(SUMSQ(H7:H41)/(COUNT(H7:H41)*COUNT(H7:H41)) ), "—")</f>
        <v>0.41116354004499772</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(9799/B46*100)</f>
        <v>88.534513913986274</v>
      </c>
      <c r="D46" s="15">
        <v>1269</v>
      </c>
      <c r="E46" s="14">
        <v>61.827868260000002</v>
      </c>
      <c r="F46" s="16">
        <v>1.69814661</v>
      </c>
      <c r="G46" s="14">
        <v>38.172131739999998</v>
      </c>
      <c r="H46" s="16">
        <v>1.69814661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(2632/B47*100)</f>
        <v>84.76650563607086</v>
      </c>
      <c r="D47" s="15">
        <v>473</v>
      </c>
      <c r="E47" s="14">
        <v>51.822545750000003</v>
      </c>
      <c r="F47" s="16">
        <v>2.1249060100000001</v>
      </c>
      <c r="G47" s="14">
        <v>48.177454249999997</v>
      </c>
      <c r="H47" s="16">
        <v>2.1249060100000001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(4298/B48*100)</f>
        <v>83.310719131614647</v>
      </c>
      <c r="D48" s="15">
        <v>861</v>
      </c>
      <c r="E48" s="14">
        <v>51.986698050000001</v>
      </c>
      <c r="F48" s="16">
        <v>2.01337353</v>
      </c>
      <c r="G48" s="14">
        <v>48.013301949999999</v>
      </c>
      <c r="H48" s="16">
        <v>2.01337353</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(4744/B50*100)</f>
        <v>84.158240198687238</v>
      </c>
      <c r="D50" s="15">
        <v>893</v>
      </c>
      <c r="E50" s="14">
        <v>44.705046230000001</v>
      </c>
      <c r="F50" s="16">
        <v>2.36985505</v>
      </c>
      <c r="G50" s="14">
        <v>55.294953769999999</v>
      </c>
      <c r="H50" s="16">
        <v>2.36985505</v>
      </c>
      <c r="I50" s="14" t="s">
        <v>139</v>
      </c>
      <c r="J50" s="16" t="s">
        <v>139</v>
      </c>
      <c r="K50" s="14">
        <v>0</v>
      </c>
      <c r="L50" s="16">
        <v>0</v>
      </c>
      <c r="M50" s="14">
        <v>0</v>
      </c>
      <c r="N50" s="16">
        <v>0</v>
      </c>
      <c r="O50" s="14">
        <v>0</v>
      </c>
      <c r="P50" s="16">
        <v>0</v>
      </c>
      <c r="Q50" s="14">
        <v>0</v>
      </c>
      <c r="R50" s="16">
        <v>0</v>
      </c>
    </row>
    <row r="51" spans="1:18" x14ac:dyDescent="0.25">
      <c r="A51" s="11" t="s">
        <v>184</v>
      </c>
      <c r="B51" s="13">
        <v>3372</v>
      </c>
      <c r="C51" s="14">
        <f>(2890/B51*100)</f>
        <v>85.705812574139969</v>
      </c>
      <c r="D51" s="15">
        <v>482</v>
      </c>
      <c r="E51" s="14">
        <v>56.261442109999997</v>
      </c>
      <c r="F51" s="16">
        <v>2.6269712699999999</v>
      </c>
      <c r="G51" s="14">
        <v>43.738557890000003</v>
      </c>
      <c r="H51" s="16">
        <v>2.6269712699999999</v>
      </c>
      <c r="I51" s="14" t="s">
        <v>139</v>
      </c>
      <c r="J51" s="16" t="s">
        <v>139</v>
      </c>
      <c r="K51" s="14">
        <v>0</v>
      </c>
      <c r="L51" s="16">
        <v>0</v>
      </c>
      <c r="M51" s="14">
        <v>0</v>
      </c>
      <c r="N51" s="16">
        <v>0</v>
      </c>
      <c r="O51" s="14">
        <v>0</v>
      </c>
      <c r="P51" s="16">
        <v>0</v>
      </c>
      <c r="Q51" s="14">
        <v>0</v>
      </c>
      <c r="R51" s="16">
        <v>0</v>
      </c>
    </row>
    <row r="52" spans="1:18" x14ac:dyDescent="0.25">
      <c r="A52" s="11" t="s">
        <v>185</v>
      </c>
      <c r="B52" s="13">
        <v>2796</v>
      </c>
      <c r="C52" s="14">
        <f>(2357/B52*100)</f>
        <v>84.298998569384835</v>
      </c>
      <c r="D52" s="15">
        <v>439</v>
      </c>
      <c r="E52" s="14">
        <v>34.264804470000001</v>
      </c>
      <c r="F52" s="16">
        <v>2.6102878600000001</v>
      </c>
      <c r="G52" s="14">
        <v>65.735195529999999</v>
      </c>
      <c r="H52" s="16">
        <v>2.6102878600000001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(2360/B53*100)</f>
        <v>83.955887584489503</v>
      </c>
      <c r="D53" s="15">
        <v>451</v>
      </c>
      <c r="E53" s="14">
        <v>57.386175969999996</v>
      </c>
      <c r="F53" s="16">
        <v>2.0203473299999999</v>
      </c>
      <c r="G53" s="14">
        <v>42.613824030000004</v>
      </c>
      <c r="H53" s="16">
        <v>2.0203473299999999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(2248/B56*100)</f>
        <v>83.75558867362146</v>
      </c>
      <c r="D56" s="15">
        <v>436</v>
      </c>
      <c r="E56" s="14">
        <v>30.88351299</v>
      </c>
      <c r="F56" s="16">
        <v>2.2819664500000001</v>
      </c>
      <c r="G56" s="14">
        <v>69.11648701</v>
      </c>
      <c r="H56" s="16">
        <v>2.2819664500000001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(2800/B61*100)</f>
        <v>84.235860409145616</v>
      </c>
      <c r="D61" s="15">
        <v>524</v>
      </c>
      <c r="E61" s="14">
        <v>37.570823109999999</v>
      </c>
      <c r="F61" s="16">
        <v>3.0838449099999998</v>
      </c>
      <c r="G61" s="14">
        <v>62.429176890000001</v>
      </c>
      <c r="H61" s="16">
        <v>3.0838449099999998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(1857/B62*100)</f>
        <v>82.680320569902051</v>
      </c>
      <c r="D62" s="15">
        <v>389</v>
      </c>
      <c r="E62" s="14">
        <v>29.3280028</v>
      </c>
      <c r="F62" s="16">
        <v>2.43777891</v>
      </c>
      <c r="G62" s="14">
        <v>70.671997200000007</v>
      </c>
      <c r="H62" s="16">
        <v>2.43777891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(2461/B66*100)</f>
        <v>85.038009675190054</v>
      </c>
      <c r="D66" s="15">
        <v>433</v>
      </c>
      <c r="E66" s="14">
        <v>59.007712609999999</v>
      </c>
      <c r="F66" s="16">
        <v>2.3556024799999999</v>
      </c>
      <c r="G66" s="14">
        <v>40.992287390000001</v>
      </c>
      <c r="H66" s="16">
        <v>2.3556024799999999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(3020/B67*100)</f>
        <v>86.015380233551696</v>
      </c>
      <c r="D67" s="15">
        <v>491</v>
      </c>
      <c r="E67" s="14">
        <v>48.963666629999999</v>
      </c>
      <c r="F67" s="16">
        <v>2.33053438</v>
      </c>
      <c r="G67" s="14">
        <v>51.036333370000001</v>
      </c>
      <c r="H67" s="16">
        <v>2.33053438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(2460/B70*100)</f>
        <v>83.987709115739165</v>
      </c>
      <c r="D70" s="15">
        <v>469</v>
      </c>
      <c r="E70" s="14">
        <v>41.796461790000002</v>
      </c>
      <c r="F70" s="16">
        <v>2.6744908299999999</v>
      </c>
      <c r="G70" s="14">
        <v>58.203538209999998</v>
      </c>
      <c r="H70" s="16">
        <v>2.6744908299999999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(3214/B72*100)</f>
        <v>82.643353047055797</v>
      </c>
      <c r="D72" s="15">
        <v>675</v>
      </c>
      <c r="E72" s="14">
        <v>30.498212169999999</v>
      </c>
      <c r="F72" s="16">
        <v>1.8905484699999999</v>
      </c>
      <c r="G72" s="14">
        <v>69.501787829999998</v>
      </c>
      <c r="H72" s="16">
        <v>1.8905484699999999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(3033/B73*100)</f>
        <v>84.320266889074219</v>
      </c>
      <c r="D73" s="15">
        <v>564</v>
      </c>
      <c r="E73" s="14">
        <v>57.24427755</v>
      </c>
      <c r="F73" s="16">
        <v>2.3125958899999999</v>
      </c>
      <c r="G73" s="14">
        <v>42.75572245</v>
      </c>
      <c r="H73" s="16">
        <v>2.3125958899999999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(2058/B75*100)</f>
        <v>85.536159600997507</v>
      </c>
      <c r="D75" s="15">
        <v>348</v>
      </c>
      <c r="E75" s="14">
        <v>73.334923200000006</v>
      </c>
      <c r="F75" s="16">
        <v>2.2994401500000001</v>
      </c>
      <c r="G75" s="14">
        <v>26.665076800000001</v>
      </c>
      <c r="H75" s="16">
        <v>2.2994401500000001</v>
      </c>
      <c r="I75" s="14" t="s">
        <v>139</v>
      </c>
      <c r="J75" s="16" t="s">
        <v>139</v>
      </c>
      <c r="K75" s="14">
        <v>0</v>
      </c>
      <c r="L75" s="16">
        <v>0</v>
      </c>
      <c r="M75" s="14">
        <v>0</v>
      </c>
      <c r="N75" s="16">
        <v>0</v>
      </c>
      <c r="O75" s="14">
        <v>0</v>
      </c>
      <c r="P75" s="16">
        <v>0</v>
      </c>
      <c r="Q75" s="14">
        <v>0</v>
      </c>
      <c r="R75" s="16">
        <v>0</v>
      </c>
    </row>
    <row r="76" spans="1:18" x14ac:dyDescent="0.25">
      <c r="A76" s="11" t="s">
        <v>209</v>
      </c>
      <c r="B76" s="13">
        <v>7052</v>
      </c>
      <c r="C76" s="14">
        <f>(5875/B76*100)</f>
        <v>83.309699376063534</v>
      </c>
      <c r="D76" s="15">
        <v>1177</v>
      </c>
      <c r="E76" s="14">
        <v>58.39017363</v>
      </c>
      <c r="F76" s="16">
        <v>1.8689236499999999</v>
      </c>
      <c r="G76" s="14">
        <v>41.60982637</v>
      </c>
      <c r="H76" s="16">
        <v>1.8689236499999999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(2486/B77*100)</f>
        <v>85.488308115543333</v>
      </c>
      <c r="D77" s="15">
        <v>422</v>
      </c>
      <c r="E77" s="14">
        <v>48.08689038</v>
      </c>
      <c r="F77" s="16">
        <v>2.4506386500000001</v>
      </c>
      <c r="G77" s="14">
        <v>51.91310962</v>
      </c>
      <c r="H77" s="16">
        <v>2.4506386500000001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(3463/B81*100)</f>
        <v>83.185202978621192</v>
      </c>
      <c r="D81" s="15">
        <v>700</v>
      </c>
      <c r="E81" s="14">
        <v>54.160532189999998</v>
      </c>
      <c r="F81" s="16">
        <v>2.3791333699999999</v>
      </c>
      <c r="G81" s="14">
        <v>45.839467810000002</v>
      </c>
      <c r="H81" s="16">
        <v>2.3791333699999999</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331</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125</v>
      </c>
      <c r="F4" s="24"/>
      <c r="G4" s="23" t="s">
        <v>248</v>
      </c>
      <c r="H4" s="24"/>
      <c r="I4" s="23" t="s">
        <v>249</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(6194/B7*100)</f>
        <v>84.077643545540923</v>
      </c>
      <c r="D7" s="15">
        <v>1173</v>
      </c>
      <c r="E7" s="14">
        <v>51.576644129999998</v>
      </c>
      <c r="F7" s="16">
        <v>1.79561602</v>
      </c>
      <c r="G7" s="14">
        <v>11.158185850000001</v>
      </c>
      <c r="H7" s="16">
        <v>1.1690964100000001</v>
      </c>
      <c r="I7" s="14">
        <v>37.265170009999999</v>
      </c>
      <c r="J7" s="16">
        <v>1.53890203</v>
      </c>
      <c r="K7" s="14" t="s">
        <v>139</v>
      </c>
      <c r="L7" s="16" t="s">
        <v>139</v>
      </c>
      <c r="M7" s="14">
        <v>0</v>
      </c>
      <c r="N7" s="16">
        <v>0</v>
      </c>
      <c r="O7" s="14">
        <v>0</v>
      </c>
      <c r="P7" s="16">
        <v>0</v>
      </c>
      <c r="Q7" s="14">
        <v>0</v>
      </c>
      <c r="R7" s="16">
        <v>0</v>
      </c>
      <c r="S7" s="14">
        <v>0</v>
      </c>
      <c r="T7" s="16">
        <v>0</v>
      </c>
    </row>
    <row r="8" spans="1:20" x14ac:dyDescent="0.25">
      <c r="A8" s="11" t="s">
        <v>140</v>
      </c>
      <c r="B8" s="13">
        <v>3564</v>
      </c>
      <c r="C8" s="14">
        <f>(2968/B8*100)</f>
        <v>83.277216610549942</v>
      </c>
      <c r="D8" s="15">
        <v>596</v>
      </c>
      <c r="E8" s="14">
        <v>57.583173649999999</v>
      </c>
      <c r="F8" s="16">
        <v>2.4563321299999998</v>
      </c>
      <c r="G8" s="14">
        <v>12.098133199999999</v>
      </c>
      <c r="H8" s="16">
        <v>1.3413573999999999</v>
      </c>
      <c r="I8" s="14">
        <v>30.318693159999999</v>
      </c>
      <c r="J8" s="16">
        <v>2.1167748400000002</v>
      </c>
      <c r="K8" s="14" t="s">
        <v>139</v>
      </c>
      <c r="L8" s="16" t="s">
        <v>139</v>
      </c>
      <c r="M8" s="14">
        <v>0</v>
      </c>
      <c r="N8" s="16">
        <v>0</v>
      </c>
      <c r="O8" s="14">
        <v>0</v>
      </c>
      <c r="P8" s="16">
        <v>0</v>
      </c>
      <c r="Q8" s="14">
        <v>0</v>
      </c>
      <c r="R8" s="16">
        <v>0</v>
      </c>
      <c r="S8" s="14">
        <v>0</v>
      </c>
      <c r="T8" s="16">
        <v>0</v>
      </c>
    </row>
    <row r="9" spans="1:20" x14ac:dyDescent="0.25">
      <c r="A9" s="11" t="s">
        <v>141</v>
      </c>
      <c r="B9" s="13">
        <v>4899</v>
      </c>
      <c r="C9" s="14">
        <f>(4133/B9*100)</f>
        <v>84.364155950193918</v>
      </c>
      <c r="D9" s="15">
        <v>766</v>
      </c>
      <c r="E9" s="14">
        <v>61.104204600000003</v>
      </c>
      <c r="F9" s="16">
        <v>1.8475302</v>
      </c>
      <c r="G9" s="14">
        <v>12.72980905</v>
      </c>
      <c r="H9" s="16">
        <v>1.40391099</v>
      </c>
      <c r="I9" s="14">
        <v>26.165986360000002</v>
      </c>
      <c r="J9" s="16">
        <v>1.6420588599999999</v>
      </c>
      <c r="K9" s="14" t="s">
        <v>139</v>
      </c>
      <c r="L9" s="16" t="s">
        <v>139</v>
      </c>
      <c r="M9" s="14">
        <v>0</v>
      </c>
      <c r="N9" s="16">
        <v>0</v>
      </c>
      <c r="O9" s="14">
        <v>0</v>
      </c>
      <c r="P9" s="16">
        <v>0</v>
      </c>
      <c r="Q9" s="14">
        <v>0</v>
      </c>
      <c r="R9" s="16">
        <v>0</v>
      </c>
      <c r="S9" s="14">
        <v>0</v>
      </c>
      <c r="T9" s="16">
        <v>0</v>
      </c>
    </row>
    <row r="10" spans="1:20" x14ac:dyDescent="0.25">
      <c r="A10" s="11" t="s">
        <v>142</v>
      </c>
      <c r="B10" s="13">
        <v>10036</v>
      </c>
      <c r="C10" s="14">
        <f>(8378/B10*100)</f>
        <v>83.479473893981677</v>
      </c>
      <c r="D10" s="15">
        <v>1658</v>
      </c>
      <c r="E10" s="14">
        <v>50.86832407</v>
      </c>
      <c r="F10" s="16">
        <v>1.7026735900000001</v>
      </c>
      <c r="G10" s="14">
        <v>13.645820029999999</v>
      </c>
      <c r="H10" s="16">
        <v>1.24844289</v>
      </c>
      <c r="I10" s="14">
        <v>35.485855899999997</v>
      </c>
      <c r="J10" s="16">
        <v>1.69283695</v>
      </c>
      <c r="K10" s="14" t="s">
        <v>139</v>
      </c>
      <c r="L10" s="16" t="s">
        <v>139</v>
      </c>
      <c r="M10" s="14">
        <v>0</v>
      </c>
      <c r="N10" s="16">
        <v>0</v>
      </c>
      <c r="O10" s="14">
        <v>0</v>
      </c>
      <c r="P10" s="16">
        <v>0</v>
      </c>
      <c r="Q10" s="14">
        <v>0</v>
      </c>
      <c r="R10" s="16">
        <v>0</v>
      </c>
      <c r="S10" s="14">
        <v>0</v>
      </c>
      <c r="T10" s="16">
        <v>0</v>
      </c>
    </row>
    <row r="11" spans="1:20" x14ac:dyDescent="0.25">
      <c r="A11" s="11" t="s">
        <v>143</v>
      </c>
      <c r="B11" s="13">
        <v>3553</v>
      </c>
      <c r="C11" s="14">
        <f>(2994/B11*100)</f>
        <v>84.266816774556702</v>
      </c>
      <c r="D11" s="15">
        <v>559</v>
      </c>
      <c r="E11" s="14">
        <v>69.158141490000006</v>
      </c>
      <c r="F11" s="16">
        <v>1.95481043</v>
      </c>
      <c r="G11" s="14">
        <v>17.683349419999999</v>
      </c>
      <c r="H11" s="16">
        <v>1.7187638199999999</v>
      </c>
      <c r="I11" s="14">
        <v>13.158509090000001</v>
      </c>
      <c r="J11" s="16">
        <v>1.43789996</v>
      </c>
      <c r="K11" s="14" t="s">
        <v>139</v>
      </c>
      <c r="L11" s="16" t="s">
        <v>139</v>
      </c>
      <c r="M11" s="14">
        <v>0</v>
      </c>
      <c r="N11" s="16">
        <v>0</v>
      </c>
      <c r="O11" s="14">
        <v>0</v>
      </c>
      <c r="P11" s="16">
        <v>0</v>
      </c>
      <c r="Q11" s="14">
        <v>0</v>
      </c>
      <c r="R11" s="16">
        <v>0</v>
      </c>
      <c r="S11" s="14">
        <v>0</v>
      </c>
      <c r="T11" s="16">
        <v>0</v>
      </c>
    </row>
    <row r="12" spans="1:20" x14ac:dyDescent="0.25">
      <c r="A12" s="11" t="s">
        <v>144</v>
      </c>
      <c r="B12" s="13">
        <v>3472</v>
      </c>
      <c r="C12" s="14">
        <f>(2877/B12*100)</f>
        <v>82.862903225806448</v>
      </c>
      <c r="D12" s="15">
        <v>595</v>
      </c>
      <c r="E12" s="14">
        <v>62.149570009999998</v>
      </c>
      <c r="F12" s="16">
        <v>2.1500342300000002</v>
      </c>
      <c r="G12" s="14">
        <v>10.79853883</v>
      </c>
      <c r="H12" s="16">
        <v>1.59190864</v>
      </c>
      <c r="I12" s="14">
        <v>27.05189116</v>
      </c>
      <c r="J12" s="16">
        <v>2.0000892800000001</v>
      </c>
      <c r="K12" s="14" t="s">
        <v>139</v>
      </c>
      <c r="L12" s="16" t="s">
        <v>139</v>
      </c>
      <c r="M12" s="14">
        <v>0</v>
      </c>
      <c r="N12" s="16">
        <v>0</v>
      </c>
      <c r="O12" s="14">
        <v>0</v>
      </c>
      <c r="P12" s="16">
        <v>0</v>
      </c>
      <c r="Q12" s="14">
        <v>0</v>
      </c>
      <c r="R12" s="16">
        <v>0</v>
      </c>
      <c r="S12" s="14">
        <v>0</v>
      </c>
      <c r="T12" s="16">
        <v>0</v>
      </c>
    </row>
    <row r="13" spans="1:20" x14ac:dyDescent="0.25">
      <c r="A13" s="11" t="s">
        <v>145</v>
      </c>
      <c r="B13" s="13">
        <v>3559</v>
      </c>
      <c r="C13" s="14">
        <f>(3022/B13*100)</f>
        <v>84.911491992132625</v>
      </c>
      <c r="D13" s="15">
        <v>537</v>
      </c>
      <c r="E13" s="14">
        <v>55.382381119999998</v>
      </c>
      <c r="F13" s="16">
        <v>2.7855828300000001</v>
      </c>
      <c r="G13" s="14">
        <v>13.08774715</v>
      </c>
      <c r="H13" s="16">
        <v>1.4370876699999999</v>
      </c>
      <c r="I13" s="14">
        <v>31.52987173</v>
      </c>
      <c r="J13" s="16">
        <v>2.5788090800000001</v>
      </c>
      <c r="K13" s="14" t="s">
        <v>139</v>
      </c>
      <c r="L13" s="16" t="s">
        <v>139</v>
      </c>
      <c r="M13" s="14">
        <v>0</v>
      </c>
      <c r="N13" s="16">
        <v>0</v>
      </c>
      <c r="O13" s="14">
        <v>0</v>
      </c>
      <c r="P13" s="16">
        <v>0</v>
      </c>
      <c r="Q13" s="14">
        <v>0</v>
      </c>
      <c r="R13" s="16">
        <v>0</v>
      </c>
      <c r="S13" s="14">
        <v>0</v>
      </c>
      <c r="T13" s="16">
        <v>0</v>
      </c>
    </row>
    <row r="14" spans="1:20" x14ac:dyDescent="0.25">
      <c r="A14" s="11" t="s">
        <v>146</v>
      </c>
      <c r="B14" s="13">
        <v>2799</v>
      </c>
      <c r="C14" s="14">
        <f>(2330/B14*100)</f>
        <v>83.244015719899963</v>
      </c>
      <c r="D14" s="15">
        <v>469</v>
      </c>
      <c r="E14" s="14">
        <v>51.933683739999999</v>
      </c>
      <c r="F14" s="16">
        <v>2.88714337</v>
      </c>
      <c r="G14" s="14">
        <v>15.968485899999999</v>
      </c>
      <c r="H14" s="16">
        <v>1.83589081</v>
      </c>
      <c r="I14" s="14">
        <v>32.097830360000003</v>
      </c>
      <c r="J14" s="16">
        <v>2.3519714399999998</v>
      </c>
      <c r="K14" s="14" t="s">
        <v>139</v>
      </c>
      <c r="L14" s="16" t="s">
        <v>139</v>
      </c>
      <c r="M14" s="14">
        <v>0</v>
      </c>
      <c r="N14" s="16">
        <v>0</v>
      </c>
      <c r="O14" s="14">
        <v>0</v>
      </c>
      <c r="P14" s="16">
        <v>0</v>
      </c>
      <c r="Q14" s="14">
        <v>0</v>
      </c>
      <c r="R14" s="16">
        <v>0</v>
      </c>
      <c r="S14" s="14">
        <v>0</v>
      </c>
      <c r="T14" s="16">
        <v>0</v>
      </c>
    </row>
    <row r="15" spans="1:20" x14ac:dyDescent="0.25">
      <c r="A15" s="11" t="s">
        <v>147</v>
      </c>
      <c r="B15" s="13">
        <v>3019</v>
      </c>
      <c r="C15" s="14">
        <f>(2518/B15*100)</f>
        <v>83.405101026830081</v>
      </c>
      <c r="D15" s="15">
        <v>501</v>
      </c>
      <c r="E15" s="14">
        <v>57.885438260000001</v>
      </c>
      <c r="F15" s="16">
        <v>2.2828047300000001</v>
      </c>
      <c r="G15" s="14">
        <v>11.3267164</v>
      </c>
      <c r="H15" s="16">
        <v>1.5941251599999999</v>
      </c>
      <c r="I15" s="14">
        <v>30.787845340000001</v>
      </c>
      <c r="J15" s="16">
        <v>2.1889542199999998</v>
      </c>
      <c r="K15" s="14" t="s">
        <v>139</v>
      </c>
      <c r="L15" s="16" t="s">
        <v>139</v>
      </c>
      <c r="M15" s="14">
        <v>0</v>
      </c>
      <c r="N15" s="16">
        <v>0</v>
      </c>
      <c r="O15" s="14">
        <v>0</v>
      </c>
      <c r="P15" s="16">
        <v>0</v>
      </c>
      <c r="Q15" s="14">
        <v>0</v>
      </c>
      <c r="R15" s="16">
        <v>0</v>
      </c>
      <c r="S15" s="14">
        <v>0</v>
      </c>
      <c r="T15" s="16">
        <v>0</v>
      </c>
    </row>
    <row r="16" spans="1:20" x14ac:dyDescent="0.25">
      <c r="A16" s="11" t="s">
        <v>148</v>
      </c>
      <c r="B16" s="13">
        <v>2997</v>
      </c>
      <c r="C16" s="14">
        <f>(2533/B16*100)</f>
        <v>84.517851184517852</v>
      </c>
      <c r="D16" s="15">
        <v>464</v>
      </c>
      <c r="E16" s="14">
        <v>61.700637039999997</v>
      </c>
      <c r="F16" s="16">
        <v>2.0428070300000001</v>
      </c>
      <c r="G16" s="14">
        <v>14.298497380000001</v>
      </c>
      <c r="H16" s="16">
        <v>1.7016605</v>
      </c>
      <c r="I16" s="14">
        <v>24.000865579999999</v>
      </c>
      <c r="J16" s="16">
        <v>1.76345683</v>
      </c>
      <c r="K16" s="14" t="s">
        <v>139</v>
      </c>
      <c r="L16" s="16" t="s">
        <v>139</v>
      </c>
      <c r="M16" s="14">
        <v>0</v>
      </c>
      <c r="N16" s="16">
        <v>0</v>
      </c>
      <c r="O16" s="14">
        <v>0</v>
      </c>
      <c r="P16" s="16">
        <v>0</v>
      </c>
      <c r="Q16" s="14">
        <v>0</v>
      </c>
      <c r="R16" s="16">
        <v>0</v>
      </c>
      <c r="S16" s="14">
        <v>0</v>
      </c>
      <c r="T16" s="16">
        <v>0</v>
      </c>
    </row>
    <row r="17" spans="1:20" x14ac:dyDescent="0.25">
      <c r="A17" s="11" t="s">
        <v>149</v>
      </c>
      <c r="B17" s="13">
        <v>3307</v>
      </c>
      <c r="C17" s="14">
        <f>(2815/B17*100)</f>
        <v>85.122467493196254</v>
      </c>
      <c r="D17" s="15">
        <v>492</v>
      </c>
      <c r="E17" s="14">
        <v>57.139806059999998</v>
      </c>
      <c r="F17" s="16">
        <v>1.98252041</v>
      </c>
      <c r="G17" s="14">
        <v>15.22350438</v>
      </c>
      <c r="H17" s="16">
        <v>1.60907982</v>
      </c>
      <c r="I17" s="14">
        <v>27.636689560000001</v>
      </c>
      <c r="J17" s="16">
        <v>1.9979110499999999</v>
      </c>
      <c r="K17" s="14" t="s">
        <v>139</v>
      </c>
      <c r="L17" s="16" t="s">
        <v>139</v>
      </c>
      <c r="M17" s="14">
        <v>0</v>
      </c>
      <c r="N17" s="16">
        <v>0</v>
      </c>
      <c r="O17" s="14">
        <v>0</v>
      </c>
      <c r="P17" s="16">
        <v>0</v>
      </c>
      <c r="Q17" s="14">
        <v>0</v>
      </c>
      <c r="R17" s="16">
        <v>0</v>
      </c>
      <c r="S17" s="14">
        <v>0</v>
      </c>
      <c r="T17" s="16">
        <v>0</v>
      </c>
    </row>
    <row r="18" spans="1:20" x14ac:dyDescent="0.25">
      <c r="A18" s="11" t="s">
        <v>150</v>
      </c>
      <c r="B18" s="13">
        <v>2826</v>
      </c>
      <c r="C18" s="14">
        <f>(2356/B18*100)</f>
        <v>83.368719037508839</v>
      </c>
      <c r="D18" s="15">
        <v>470</v>
      </c>
      <c r="E18" s="14">
        <v>66.407559419999998</v>
      </c>
      <c r="F18" s="16">
        <v>2.3608440900000001</v>
      </c>
      <c r="G18" s="14">
        <v>17.154389179999999</v>
      </c>
      <c r="H18" s="16">
        <v>2.2265267999999998</v>
      </c>
      <c r="I18" s="14">
        <v>16.43805141</v>
      </c>
      <c r="J18" s="16">
        <v>1.7114521499999999</v>
      </c>
      <c r="K18" s="14" t="s">
        <v>139</v>
      </c>
      <c r="L18" s="16" t="s">
        <v>139</v>
      </c>
      <c r="M18" s="14">
        <v>0</v>
      </c>
      <c r="N18" s="16">
        <v>0</v>
      </c>
      <c r="O18" s="14">
        <v>0</v>
      </c>
      <c r="P18" s="16">
        <v>0</v>
      </c>
      <c r="Q18" s="14">
        <v>0</v>
      </c>
      <c r="R18" s="16">
        <v>0</v>
      </c>
      <c r="S18" s="14">
        <v>0</v>
      </c>
      <c r="T18" s="16">
        <v>0</v>
      </c>
    </row>
    <row r="19" spans="1:20" x14ac:dyDescent="0.25">
      <c r="A19" s="11" t="s">
        <v>151</v>
      </c>
      <c r="B19" s="13">
        <v>2808</v>
      </c>
      <c r="C19" s="14">
        <f>(2359/B19*100)</f>
        <v>84.009971509971521</v>
      </c>
      <c r="D19" s="15">
        <v>449</v>
      </c>
      <c r="E19" s="14">
        <v>66.194521969999997</v>
      </c>
      <c r="F19" s="16">
        <v>2.4318951599999998</v>
      </c>
      <c r="G19" s="14">
        <v>16.150042760000002</v>
      </c>
      <c r="H19" s="16">
        <v>2.0997632400000001</v>
      </c>
      <c r="I19" s="14">
        <v>17.655435270000002</v>
      </c>
      <c r="J19" s="16">
        <v>1.84875795</v>
      </c>
      <c r="K19" s="14" t="s">
        <v>139</v>
      </c>
      <c r="L19" s="16" t="s">
        <v>139</v>
      </c>
      <c r="M19" s="14">
        <v>0</v>
      </c>
      <c r="N19" s="16">
        <v>0</v>
      </c>
      <c r="O19" s="14">
        <v>0</v>
      </c>
      <c r="P19" s="16">
        <v>0</v>
      </c>
      <c r="Q19" s="14">
        <v>0</v>
      </c>
      <c r="R19" s="16">
        <v>0</v>
      </c>
      <c r="S19" s="14">
        <v>0</v>
      </c>
      <c r="T19" s="16">
        <v>0</v>
      </c>
    </row>
    <row r="20" spans="1:20" x14ac:dyDescent="0.25">
      <c r="A20" s="11" t="s">
        <v>152</v>
      </c>
      <c r="B20" s="13">
        <v>1630</v>
      </c>
      <c r="C20" s="14">
        <f>(1370/B20*100)</f>
        <v>84.049079754601223</v>
      </c>
      <c r="D20" s="15">
        <v>260</v>
      </c>
      <c r="E20" s="14">
        <v>53.77010705</v>
      </c>
      <c r="F20" s="16">
        <v>3.2781841699999998</v>
      </c>
      <c r="G20" s="14">
        <v>17.924538470000002</v>
      </c>
      <c r="H20" s="16">
        <v>2.5685994000000001</v>
      </c>
      <c r="I20" s="14">
        <v>28.305354479999998</v>
      </c>
      <c r="J20" s="16">
        <v>3.0549046799999999</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(2460/B22*100)</f>
        <v>83.930399181166834</v>
      </c>
      <c r="D22" s="15">
        <v>471</v>
      </c>
      <c r="E22" s="14">
        <v>66.068929929999996</v>
      </c>
      <c r="F22" s="16">
        <v>2.1815905199999999</v>
      </c>
      <c r="G22" s="14">
        <v>12.116604949999999</v>
      </c>
      <c r="H22" s="16">
        <v>1.7283995299999999</v>
      </c>
      <c r="I22" s="14">
        <v>21.814465120000001</v>
      </c>
      <c r="J22" s="16">
        <v>1.37911724</v>
      </c>
      <c r="K22" s="14" t="s">
        <v>139</v>
      </c>
      <c r="L22" s="16" t="s">
        <v>139</v>
      </c>
      <c r="M22" s="14">
        <v>0</v>
      </c>
      <c r="N22" s="16">
        <v>0</v>
      </c>
      <c r="O22" s="14">
        <v>0</v>
      </c>
      <c r="P22" s="16">
        <v>0</v>
      </c>
      <c r="Q22" s="14">
        <v>0</v>
      </c>
      <c r="R22" s="16">
        <v>0</v>
      </c>
      <c r="S22" s="14">
        <v>0</v>
      </c>
      <c r="T22" s="16">
        <v>0</v>
      </c>
    </row>
    <row r="23" spans="1:20" x14ac:dyDescent="0.25">
      <c r="A23" s="11" t="s">
        <v>156</v>
      </c>
      <c r="B23" s="13">
        <v>5791</v>
      </c>
      <c r="C23" s="14">
        <f>(4825/B23*100)</f>
        <v>83.318943187705059</v>
      </c>
      <c r="D23" s="15">
        <v>966</v>
      </c>
      <c r="E23" s="14">
        <v>55.27221076</v>
      </c>
      <c r="F23" s="16">
        <v>2.0930970200000001</v>
      </c>
      <c r="G23" s="14">
        <v>15.868217769999999</v>
      </c>
      <c r="H23" s="16">
        <v>1.6412253699999999</v>
      </c>
      <c r="I23" s="14">
        <v>28.859571469999999</v>
      </c>
      <c r="J23" s="16">
        <v>1.98924634</v>
      </c>
      <c r="K23" s="14" t="s">
        <v>139</v>
      </c>
      <c r="L23" s="16" t="s">
        <v>139</v>
      </c>
      <c r="M23" s="14">
        <v>0</v>
      </c>
      <c r="N23" s="16">
        <v>0</v>
      </c>
      <c r="O23" s="14">
        <v>0</v>
      </c>
      <c r="P23" s="16">
        <v>0</v>
      </c>
      <c r="Q23" s="14">
        <v>0</v>
      </c>
      <c r="R23" s="16">
        <v>0</v>
      </c>
      <c r="S23" s="14">
        <v>0</v>
      </c>
      <c r="T23" s="16">
        <v>0</v>
      </c>
    </row>
    <row r="24" spans="1:20" x14ac:dyDescent="0.25">
      <c r="A24" s="11" t="s">
        <v>157</v>
      </c>
      <c r="B24" s="13">
        <v>3338</v>
      </c>
      <c r="C24" s="14">
        <f>(2784/B24*100)</f>
        <v>83.403235470341514</v>
      </c>
      <c r="D24" s="15">
        <v>554</v>
      </c>
      <c r="E24" s="14">
        <v>41.347050170000003</v>
      </c>
      <c r="F24" s="16">
        <v>2.05158891</v>
      </c>
      <c r="G24" s="14">
        <v>7.9364033200000002</v>
      </c>
      <c r="H24" s="16">
        <v>1.1285183400000001</v>
      </c>
      <c r="I24" s="14">
        <v>50.716546510000001</v>
      </c>
      <c r="J24" s="16">
        <v>2.3007935599999998</v>
      </c>
      <c r="K24" s="14" t="s">
        <v>139</v>
      </c>
      <c r="L24" s="16" t="s">
        <v>139</v>
      </c>
      <c r="M24" s="14">
        <v>0</v>
      </c>
      <c r="N24" s="16">
        <v>0</v>
      </c>
      <c r="O24" s="14">
        <v>0</v>
      </c>
      <c r="P24" s="16">
        <v>0</v>
      </c>
      <c r="Q24" s="14">
        <v>0</v>
      </c>
      <c r="R24" s="16">
        <v>0</v>
      </c>
      <c r="S24" s="14">
        <v>0</v>
      </c>
      <c r="T24" s="16">
        <v>0</v>
      </c>
    </row>
    <row r="25" spans="1:20" x14ac:dyDescent="0.25">
      <c r="A25" s="11" t="s">
        <v>158</v>
      </c>
      <c r="B25" s="13">
        <v>2912</v>
      </c>
      <c r="C25" s="14">
        <f>(2409/B25*100)</f>
        <v>82.72664835164835</v>
      </c>
      <c r="D25" s="15">
        <v>503</v>
      </c>
      <c r="E25" s="14">
        <v>48.563360899999999</v>
      </c>
      <c r="F25" s="16">
        <v>2.3470754899999999</v>
      </c>
      <c r="G25" s="14">
        <v>12.92650283</v>
      </c>
      <c r="H25" s="16">
        <v>1.3419915600000001</v>
      </c>
      <c r="I25" s="14">
        <v>38.510136269999997</v>
      </c>
      <c r="J25" s="16">
        <v>1.9261921799999999</v>
      </c>
      <c r="K25" s="14" t="s">
        <v>139</v>
      </c>
      <c r="L25" s="16" t="s">
        <v>139</v>
      </c>
      <c r="M25" s="14">
        <v>0</v>
      </c>
      <c r="N25" s="16">
        <v>0</v>
      </c>
      <c r="O25" s="14">
        <v>0</v>
      </c>
      <c r="P25" s="16">
        <v>0</v>
      </c>
      <c r="Q25" s="14">
        <v>0</v>
      </c>
      <c r="R25" s="16">
        <v>0</v>
      </c>
      <c r="S25" s="14">
        <v>0</v>
      </c>
      <c r="T25" s="16">
        <v>0</v>
      </c>
    </row>
    <row r="26" spans="1:20" x14ac:dyDescent="0.25">
      <c r="A26" s="11" t="s">
        <v>159</v>
      </c>
      <c r="B26" s="13">
        <v>2450</v>
      </c>
      <c r="C26" s="14">
        <f>(2051/B26*100)</f>
        <v>83.714285714285722</v>
      </c>
      <c r="D26" s="15">
        <v>399</v>
      </c>
      <c r="E26" s="14">
        <v>62.044593429999999</v>
      </c>
      <c r="F26" s="16">
        <v>2.0960575800000001</v>
      </c>
      <c r="G26" s="14">
        <v>13.345827659999999</v>
      </c>
      <c r="H26" s="16">
        <v>1.67387076</v>
      </c>
      <c r="I26" s="14">
        <v>24.60957891</v>
      </c>
      <c r="J26" s="16">
        <v>1.98595352</v>
      </c>
      <c r="K26" s="14" t="s">
        <v>139</v>
      </c>
      <c r="L26" s="16" t="s">
        <v>139</v>
      </c>
      <c r="M26" s="14">
        <v>0</v>
      </c>
      <c r="N26" s="16">
        <v>0</v>
      </c>
      <c r="O26" s="14">
        <v>0</v>
      </c>
      <c r="P26" s="16">
        <v>0</v>
      </c>
      <c r="Q26" s="14">
        <v>0</v>
      </c>
      <c r="R26" s="16">
        <v>0</v>
      </c>
      <c r="S26" s="14">
        <v>0</v>
      </c>
      <c r="T26" s="16">
        <v>0</v>
      </c>
    </row>
    <row r="27" spans="1:20" x14ac:dyDescent="0.25">
      <c r="A27" s="11" t="s">
        <v>160</v>
      </c>
      <c r="B27" s="13">
        <v>2616</v>
      </c>
      <c r="C27" s="14">
        <f>(2200/B27*100)</f>
        <v>84.097859327217122</v>
      </c>
      <c r="D27" s="15">
        <v>416</v>
      </c>
      <c r="E27" s="14">
        <v>64.097328860000005</v>
      </c>
      <c r="F27" s="16">
        <v>2.6101507700000002</v>
      </c>
      <c r="G27" s="14">
        <v>13.944890729999999</v>
      </c>
      <c r="H27" s="16">
        <v>1.79372139</v>
      </c>
      <c r="I27" s="14">
        <v>21.957780410000002</v>
      </c>
      <c r="J27" s="16">
        <v>2.0947607800000001</v>
      </c>
      <c r="K27" s="14" t="s">
        <v>139</v>
      </c>
      <c r="L27" s="16" t="s">
        <v>139</v>
      </c>
      <c r="M27" s="14">
        <v>0</v>
      </c>
      <c r="N27" s="16">
        <v>0</v>
      </c>
      <c r="O27" s="14">
        <v>0</v>
      </c>
      <c r="P27" s="16">
        <v>0</v>
      </c>
      <c r="Q27" s="14">
        <v>0</v>
      </c>
      <c r="R27" s="16">
        <v>0</v>
      </c>
      <c r="S27" s="14">
        <v>0</v>
      </c>
      <c r="T27" s="16">
        <v>0</v>
      </c>
    </row>
    <row r="28" spans="1:20" x14ac:dyDescent="0.25">
      <c r="A28" s="11" t="s">
        <v>161</v>
      </c>
      <c r="B28" s="13">
        <v>3765</v>
      </c>
      <c r="C28" s="14">
        <f>(3204/B28*100)</f>
        <v>85.099601593625493</v>
      </c>
      <c r="D28" s="15">
        <v>561</v>
      </c>
      <c r="E28" s="14">
        <v>76.011537000000004</v>
      </c>
      <c r="F28" s="16">
        <v>2.0962162499999999</v>
      </c>
      <c r="G28" s="14">
        <v>14.77098155</v>
      </c>
      <c r="H28" s="16">
        <v>1.4233924499999999</v>
      </c>
      <c r="I28" s="14">
        <v>9.2174814499999993</v>
      </c>
      <c r="J28" s="16">
        <v>1.45433396</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60.714400500000004</v>
      </c>
      <c r="F29" s="16">
        <v>2.5936575099999999</v>
      </c>
      <c r="G29" s="14">
        <v>13.88335915</v>
      </c>
      <c r="H29" s="16">
        <v>2.03128989</v>
      </c>
      <c r="I29" s="14">
        <v>25.402240339999999</v>
      </c>
      <c r="J29" s="16">
        <v>1.98679772</v>
      </c>
      <c r="K29" s="14" t="s">
        <v>139</v>
      </c>
      <c r="L29" s="16" t="s">
        <v>139</v>
      </c>
      <c r="M29" s="14">
        <v>0</v>
      </c>
      <c r="N29" s="16">
        <v>0</v>
      </c>
      <c r="O29" s="14">
        <v>0</v>
      </c>
      <c r="P29" s="16">
        <v>0</v>
      </c>
      <c r="Q29" s="14">
        <v>0</v>
      </c>
      <c r="R29" s="16">
        <v>0</v>
      </c>
      <c r="S29" s="14">
        <v>0</v>
      </c>
      <c r="T29" s="16">
        <v>0</v>
      </c>
    </row>
    <row r="30" spans="1:20" x14ac:dyDescent="0.25">
      <c r="A30" s="11" t="s">
        <v>163</v>
      </c>
      <c r="B30" s="13">
        <v>2263</v>
      </c>
      <c r="C30" s="14">
        <f>(1903/B30*100)</f>
        <v>84.091913389306228</v>
      </c>
      <c r="D30" s="15">
        <v>360</v>
      </c>
      <c r="E30" s="14">
        <v>55.162768900000003</v>
      </c>
      <c r="F30" s="16">
        <v>3.1027888099999998</v>
      </c>
      <c r="G30" s="14">
        <v>12.99174406</v>
      </c>
      <c r="H30" s="16">
        <v>1.56880146</v>
      </c>
      <c r="I30" s="14">
        <v>31.845487030000001</v>
      </c>
      <c r="J30" s="16">
        <v>2.8104283699999999</v>
      </c>
      <c r="K30" s="14" t="s">
        <v>139</v>
      </c>
      <c r="L30" s="16" t="s">
        <v>139</v>
      </c>
      <c r="M30" s="14">
        <v>0</v>
      </c>
      <c r="N30" s="16">
        <v>0</v>
      </c>
      <c r="O30" s="14">
        <v>0</v>
      </c>
      <c r="P30" s="16">
        <v>0</v>
      </c>
      <c r="Q30" s="14">
        <v>0</v>
      </c>
      <c r="R30" s="16">
        <v>0</v>
      </c>
      <c r="S30" s="14">
        <v>0</v>
      </c>
      <c r="T30" s="16">
        <v>0</v>
      </c>
    </row>
    <row r="31" spans="1:20" x14ac:dyDescent="0.25">
      <c r="A31" s="11" t="s">
        <v>164</v>
      </c>
      <c r="B31" s="13">
        <v>2750</v>
      </c>
      <c r="C31" s="14">
        <f>(2312/B31*100)</f>
        <v>84.072727272727278</v>
      </c>
      <c r="D31" s="15">
        <v>438</v>
      </c>
      <c r="E31" s="14">
        <v>58.38281379</v>
      </c>
      <c r="F31" s="16">
        <v>2.2114579000000001</v>
      </c>
      <c r="G31" s="14">
        <v>13.340412540000001</v>
      </c>
      <c r="H31" s="16">
        <v>1.67133485</v>
      </c>
      <c r="I31" s="14">
        <v>28.276773670000001</v>
      </c>
      <c r="J31" s="16">
        <v>1.94787398</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(3086/B33*100)</f>
        <v>83.995645073489385</v>
      </c>
      <c r="D33" s="15">
        <v>588</v>
      </c>
      <c r="E33" s="14">
        <v>50.285921090000002</v>
      </c>
      <c r="F33" s="16">
        <v>2.4004699999999999</v>
      </c>
      <c r="G33" s="14">
        <v>18.579098070000001</v>
      </c>
      <c r="H33" s="16">
        <v>1.83016712</v>
      </c>
      <c r="I33" s="14">
        <v>31.134980840000001</v>
      </c>
      <c r="J33" s="16">
        <v>2.39067746</v>
      </c>
      <c r="K33" s="14" t="s">
        <v>139</v>
      </c>
      <c r="L33" s="16" t="s">
        <v>139</v>
      </c>
      <c r="M33" s="14">
        <v>0</v>
      </c>
      <c r="N33" s="16">
        <v>0</v>
      </c>
      <c r="O33" s="14">
        <v>0</v>
      </c>
      <c r="P33" s="16">
        <v>0</v>
      </c>
      <c r="Q33" s="14">
        <v>0</v>
      </c>
      <c r="R33" s="16">
        <v>0</v>
      </c>
      <c r="S33" s="14">
        <v>0</v>
      </c>
      <c r="T33" s="16">
        <v>0</v>
      </c>
    </row>
    <row r="34" spans="1:20" x14ac:dyDescent="0.25">
      <c r="A34" s="11" t="s">
        <v>167</v>
      </c>
      <c r="B34" s="13">
        <v>3315</v>
      </c>
      <c r="C34" s="14">
        <f>(2803/B34*100)</f>
        <v>84.555052790346906</v>
      </c>
      <c r="D34" s="15">
        <v>512</v>
      </c>
      <c r="E34" s="14">
        <v>64.437856510000003</v>
      </c>
      <c r="F34" s="16">
        <v>2.1247366300000001</v>
      </c>
      <c r="G34" s="14">
        <v>13.90310152</v>
      </c>
      <c r="H34" s="16">
        <v>1.769247</v>
      </c>
      <c r="I34" s="14">
        <v>21.65904196</v>
      </c>
      <c r="J34" s="16">
        <v>1.7356429499999999</v>
      </c>
      <c r="K34" s="14" t="s">
        <v>139</v>
      </c>
      <c r="L34" s="16" t="s">
        <v>139</v>
      </c>
      <c r="M34" s="14">
        <v>0</v>
      </c>
      <c r="N34" s="16">
        <v>0</v>
      </c>
      <c r="O34" s="14">
        <v>0</v>
      </c>
      <c r="P34" s="16">
        <v>0</v>
      </c>
      <c r="Q34" s="14">
        <v>0</v>
      </c>
      <c r="R34" s="16">
        <v>0</v>
      </c>
      <c r="S34" s="14">
        <v>0</v>
      </c>
      <c r="T34" s="16">
        <v>0</v>
      </c>
    </row>
    <row r="35" spans="1:20" x14ac:dyDescent="0.25">
      <c r="A35" s="11" t="s">
        <v>168</v>
      </c>
      <c r="B35" s="13">
        <v>3505</v>
      </c>
      <c r="C35" s="14">
        <f>(2938/B35*100)</f>
        <v>83.823109843081312</v>
      </c>
      <c r="D35" s="15">
        <v>567</v>
      </c>
      <c r="E35" s="14">
        <v>55.3349209</v>
      </c>
      <c r="F35" s="16">
        <v>2.7455696999999999</v>
      </c>
      <c r="G35" s="14">
        <v>15.06364391</v>
      </c>
      <c r="H35" s="16">
        <v>2.03363454</v>
      </c>
      <c r="I35" s="14">
        <v>29.60143519</v>
      </c>
      <c r="J35" s="16">
        <v>2.4812904100000002</v>
      </c>
      <c r="K35" s="14" t="s">
        <v>139</v>
      </c>
      <c r="L35" s="16" t="s">
        <v>139</v>
      </c>
      <c r="M35" s="14">
        <v>0</v>
      </c>
      <c r="N35" s="16">
        <v>0</v>
      </c>
      <c r="O35" s="14">
        <v>0</v>
      </c>
      <c r="P35" s="16">
        <v>0</v>
      </c>
      <c r="Q35" s="14">
        <v>0</v>
      </c>
      <c r="R35" s="16">
        <v>0</v>
      </c>
      <c r="S35" s="14">
        <v>0</v>
      </c>
      <c r="T35" s="16">
        <v>0</v>
      </c>
    </row>
    <row r="36" spans="1:20" x14ac:dyDescent="0.25">
      <c r="A36" s="11" t="s">
        <v>169</v>
      </c>
      <c r="B36" s="13">
        <v>3332</v>
      </c>
      <c r="C36" s="14">
        <f>(2788/B36*100)</f>
        <v>83.673469387755105</v>
      </c>
      <c r="D36" s="15">
        <v>544</v>
      </c>
      <c r="E36" s="14">
        <v>60.773374259999997</v>
      </c>
      <c r="F36" s="16">
        <v>2.2825483800000002</v>
      </c>
      <c r="G36" s="14">
        <v>14.399316519999999</v>
      </c>
      <c r="H36" s="16">
        <v>1.8104091600000001</v>
      </c>
      <c r="I36" s="14">
        <v>24.827309209999999</v>
      </c>
      <c r="J36" s="16">
        <v>1.99373986</v>
      </c>
      <c r="K36" s="14" t="s">
        <v>139</v>
      </c>
      <c r="L36" s="16" t="s">
        <v>139</v>
      </c>
      <c r="M36" s="14">
        <v>0</v>
      </c>
      <c r="N36" s="16">
        <v>0</v>
      </c>
      <c r="O36" s="14">
        <v>0</v>
      </c>
      <c r="P36" s="16">
        <v>0</v>
      </c>
      <c r="Q36" s="14">
        <v>0</v>
      </c>
      <c r="R36" s="16">
        <v>0</v>
      </c>
      <c r="S36" s="14">
        <v>0</v>
      </c>
      <c r="T36" s="16">
        <v>0</v>
      </c>
    </row>
    <row r="37" spans="1:20" x14ac:dyDescent="0.25">
      <c r="A37" s="11" t="s">
        <v>170</v>
      </c>
      <c r="B37" s="13">
        <v>2727</v>
      </c>
      <c r="C37" s="14">
        <f>(2309/B37*100)</f>
        <v>84.671800513384682</v>
      </c>
      <c r="D37" s="15">
        <v>418</v>
      </c>
      <c r="E37" s="14">
        <v>62.494582540000003</v>
      </c>
      <c r="F37" s="16">
        <v>2.6952571399999998</v>
      </c>
      <c r="G37" s="14">
        <v>12.810787100000001</v>
      </c>
      <c r="H37" s="16">
        <v>1.7246447499999999</v>
      </c>
      <c r="I37" s="14">
        <v>24.694630360000001</v>
      </c>
      <c r="J37" s="16">
        <v>2.2662516500000001</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(2449/B39*100)</f>
        <v>82.820426107541422</v>
      </c>
      <c r="D39" s="15">
        <v>508</v>
      </c>
      <c r="E39" s="14">
        <v>72.12620871</v>
      </c>
      <c r="F39" s="16">
        <v>2.3243316599999999</v>
      </c>
      <c r="G39" s="14">
        <v>17.416264770000002</v>
      </c>
      <c r="H39" s="16">
        <v>2.1522243300000001</v>
      </c>
      <c r="I39" s="14">
        <v>10.45752652</v>
      </c>
      <c r="J39" s="16">
        <v>1.5855278500000001</v>
      </c>
      <c r="K39" s="14" t="s">
        <v>139</v>
      </c>
      <c r="L39" s="16" t="s">
        <v>139</v>
      </c>
      <c r="M39" s="14">
        <v>0</v>
      </c>
      <c r="N39" s="16">
        <v>0</v>
      </c>
      <c r="O39" s="14">
        <v>0</v>
      </c>
      <c r="P39" s="16">
        <v>0</v>
      </c>
      <c r="Q39" s="14">
        <v>0</v>
      </c>
      <c r="R39" s="16">
        <v>0</v>
      </c>
      <c r="S39" s="14">
        <v>0</v>
      </c>
      <c r="T39" s="16">
        <v>0</v>
      </c>
    </row>
    <row r="40" spans="1:20" x14ac:dyDescent="0.25">
      <c r="A40" s="11" t="s">
        <v>173</v>
      </c>
      <c r="B40" s="13">
        <v>7235</v>
      </c>
      <c r="C40" s="14">
        <f>(6028/B40*100)</f>
        <v>83.317208016586036</v>
      </c>
      <c r="D40" s="15">
        <v>1207</v>
      </c>
      <c r="E40" s="14">
        <v>51.353476880000002</v>
      </c>
      <c r="F40" s="16">
        <v>2.0324562199999998</v>
      </c>
      <c r="G40" s="14">
        <v>11.92728108</v>
      </c>
      <c r="H40" s="16">
        <v>1.53129837</v>
      </c>
      <c r="I40" s="14">
        <v>36.719242039999997</v>
      </c>
      <c r="J40" s="16">
        <v>2.2576895600000002</v>
      </c>
      <c r="K40" s="14" t="s">
        <v>139</v>
      </c>
      <c r="L40" s="16" t="s">
        <v>139</v>
      </c>
      <c r="M40" s="14">
        <v>0</v>
      </c>
      <c r="N40" s="16">
        <v>0</v>
      </c>
      <c r="O40" s="14">
        <v>0</v>
      </c>
      <c r="P40" s="16">
        <v>0</v>
      </c>
      <c r="Q40" s="14">
        <v>0</v>
      </c>
      <c r="R40" s="16">
        <v>0</v>
      </c>
      <c r="S40" s="14">
        <v>0</v>
      </c>
      <c r="T40" s="16">
        <v>0</v>
      </c>
    </row>
    <row r="41" spans="1:20" x14ac:dyDescent="0.25">
      <c r="A41" s="11" t="s">
        <v>174</v>
      </c>
      <c r="B41" s="13">
        <v>2858</v>
      </c>
      <c r="C41" s="14">
        <f>(2399/B41*100)</f>
        <v>83.939818054583625</v>
      </c>
      <c r="D41" s="15">
        <v>459</v>
      </c>
      <c r="E41" s="14">
        <v>58.913936499999998</v>
      </c>
      <c r="F41" s="16">
        <v>2.5777148300000001</v>
      </c>
      <c r="G41" s="14">
        <v>13.57871804</v>
      </c>
      <c r="H41" s="16">
        <v>1.5077858</v>
      </c>
      <c r="I41" s="14">
        <v>27.50734546</v>
      </c>
      <c r="J41" s="16">
        <v>2.3373302699999998</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83.857789826805245</v>
      </c>
      <c r="D42" s="15">
        <f>IF(COUNT(D7:D41) &gt; 0, AVERAGE(D7:D41), "—")</f>
        <v>590.9375</v>
      </c>
      <c r="E42" s="14">
        <f>IF(COUNT(E7:E41) &gt; 0, AVERAGE(E7:E41), "—")</f>
        <v>58.944983257500006</v>
      </c>
      <c r="F42" s="16">
        <f>IF(COUNT(F7:F41) &gt; 0, SQRT(SUMSQ(F7:F41)/(COUNT(F7:F41)*COUNT(F7:F41)) ), "—")</f>
        <v>0.41672670119474042</v>
      </c>
      <c r="G42" s="14">
        <f>IF(COUNT(G7:G41) &gt; 0, AVERAGE(G7:G41), "—")</f>
        <v>14.001591049062499</v>
      </c>
      <c r="H42" s="16">
        <f>IF(COUNT(H7:H41) &gt; 0, SQRT(SUMSQ(H7:H41)/(COUNT(H7:H41)*COUNT(H7:H41)) ), "—")</f>
        <v>0.30283329067633175</v>
      </c>
      <c r="I42" s="14">
        <f>IF(COUNT(I7:I41) &gt; 0, AVERAGE(I7:I41), "—")</f>
        <v>27.0534256928125</v>
      </c>
      <c r="J42" s="16">
        <f>IF(COUNT(J7:J41) &gt; 0, SQRT(SUMSQ(J7:J41)/(COUNT(J7:J41)*COUNT(J7:J41)) ), "—")</f>
        <v>0.3647734752567815</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(9799/B46*100)</f>
        <v>88.534513913986274</v>
      </c>
      <c r="D46" s="15">
        <v>1269</v>
      </c>
      <c r="E46" s="14">
        <v>78.997811350000006</v>
      </c>
      <c r="F46" s="16">
        <v>1.3232549899999999</v>
      </c>
      <c r="G46" s="14">
        <v>15.09418835</v>
      </c>
      <c r="H46" s="16">
        <v>1.18896964</v>
      </c>
      <c r="I46" s="14">
        <v>5.9080003000000003</v>
      </c>
      <c r="J46" s="16">
        <v>0.95373264000000002</v>
      </c>
      <c r="K46" s="14" t="s">
        <v>139</v>
      </c>
      <c r="L46" s="16" t="s">
        <v>139</v>
      </c>
      <c r="M46" s="14">
        <v>0</v>
      </c>
      <c r="N46" s="16">
        <v>0</v>
      </c>
      <c r="O46" s="14">
        <v>0</v>
      </c>
      <c r="P46" s="16">
        <v>0</v>
      </c>
      <c r="Q46" s="14">
        <v>0</v>
      </c>
      <c r="R46" s="16">
        <v>0</v>
      </c>
      <c r="S46" s="14">
        <v>0</v>
      </c>
      <c r="T46" s="16">
        <v>0</v>
      </c>
    </row>
    <row r="47" spans="1:20" x14ac:dyDescent="0.25">
      <c r="A47" s="11" t="s">
        <v>180</v>
      </c>
      <c r="B47" s="13">
        <v>3105</v>
      </c>
      <c r="C47" s="14">
        <f>(2632/B47*100)</f>
        <v>84.76650563607086</v>
      </c>
      <c r="D47" s="15">
        <v>473</v>
      </c>
      <c r="E47" s="14">
        <v>61.750182279999997</v>
      </c>
      <c r="F47" s="16">
        <v>2.39252668</v>
      </c>
      <c r="G47" s="14">
        <v>20.6010952</v>
      </c>
      <c r="H47" s="16">
        <v>1.88363905</v>
      </c>
      <c r="I47" s="14">
        <v>17.64872252</v>
      </c>
      <c r="J47" s="16">
        <v>1.98045589</v>
      </c>
      <c r="K47" s="14" t="s">
        <v>139</v>
      </c>
      <c r="L47" s="16" t="s">
        <v>139</v>
      </c>
      <c r="M47" s="14">
        <v>0</v>
      </c>
      <c r="N47" s="16">
        <v>0</v>
      </c>
      <c r="O47" s="14">
        <v>0</v>
      </c>
      <c r="P47" s="16">
        <v>0</v>
      </c>
      <c r="Q47" s="14">
        <v>0</v>
      </c>
      <c r="R47" s="16">
        <v>0</v>
      </c>
      <c r="S47" s="14">
        <v>0</v>
      </c>
      <c r="T47" s="16">
        <v>0</v>
      </c>
    </row>
    <row r="48" spans="1:20" x14ac:dyDescent="0.25">
      <c r="A48" s="11" t="s">
        <v>181</v>
      </c>
      <c r="B48" s="13">
        <v>5159</v>
      </c>
      <c r="C48" s="14">
        <f>(4298/B48*100)</f>
        <v>83.310719131614647</v>
      </c>
      <c r="D48" s="15">
        <v>861</v>
      </c>
      <c r="E48" s="14">
        <v>57.496688970000001</v>
      </c>
      <c r="F48" s="16">
        <v>2.2129848700000001</v>
      </c>
      <c r="G48" s="14">
        <v>10.982508279999999</v>
      </c>
      <c r="H48" s="16">
        <v>1.2079322100000001</v>
      </c>
      <c r="I48" s="14">
        <v>31.520802759999999</v>
      </c>
      <c r="J48" s="16">
        <v>1.9637707799999999</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(4744/B50*100)</f>
        <v>84.158240198687238</v>
      </c>
      <c r="D50" s="15">
        <v>893</v>
      </c>
      <c r="E50" s="14">
        <v>79.618812969999993</v>
      </c>
      <c r="F50" s="16">
        <v>1.53430592</v>
      </c>
      <c r="G50" s="14">
        <v>13.72895782</v>
      </c>
      <c r="H50" s="16">
        <v>1.3068419200000001</v>
      </c>
      <c r="I50" s="14">
        <v>6.6522291999999998</v>
      </c>
      <c r="J50" s="16">
        <v>1.0294585199999999</v>
      </c>
      <c r="K50" s="14" t="s">
        <v>139</v>
      </c>
      <c r="L50" s="16" t="s">
        <v>139</v>
      </c>
      <c r="M50" s="14">
        <v>0</v>
      </c>
      <c r="N50" s="16">
        <v>0</v>
      </c>
      <c r="O50" s="14">
        <v>0</v>
      </c>
      <c r="P50" s="16">
        <v>0</v>
      </c>
      <c r="Q50" s="14">
        <v>0</v>
      </c>
      <c r="R50" s="16">
        <v>0</v>
      </c>
      <c r="S50" s="14">
        <v>0</v>
      </c>
      <c r="T50" s="16">
        <v>0</v>
      </c>
    </row>
    <row r="51" spans="1:20" x14ac:dyDescent="0.25">
      <c r="A51" s="11" t="s">
        <v>184</v>
      </c>
      <c r="B51" s="13">
        <v>3372</v>
      </c>
      <c r="C51" s="14">
        <f>(2890/B51*100)</f>
        <v>85.705812574139969</v>
      </c>
      <c r="D51" s="15">
        <v>482</v>
      </c>
      <c r="E51" s="14">
        <v>76.423882370000001</v>
      </c>
      <c r="F51" s="16">
        <v>2.2885686000000001</v>
      </c>
      <c r="G51" s="14">
        <v>15.472758499999999</v>
      </c>
      <c r="H51" s="16">
        <v>1.7143151999999999</v>
      </c>
      <c r="I51" s="14">
        <v>8.1033591299999994</v>
      </c>
      <c r="J51" s="16">
        <v>1.3280889499999999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(2357/B52*100)</f>
        <v>84.298998569384835</v>
      </c>
      <c r="D52" s="15">
        <v>439</v>
      </c>
      <c r="E52" s="14">
        <v>66.166534530000007</v>
      </c>
      <c r="F52" s="16">
        <v>2.2576398800000002</v>
      </c>
      <c r="G52" s="14">
        <v>17.49341712</v>
      </c>
      <c r="H52" s="16">
        <v>1.7503337299999999</v>
      </c>
      <c r="I52" s="14">
        <v>16.34004835</v>
      </c>
      <c r="J52" s="16">
        <v>1.7382313</v>
      </c>
      <c r="K52" s="14" t="s">
        <v>139</v>
      </c>
      <c r="L52" s="16" t="s">
        <v>139</v>
      </c>
      <c r="M52" s="14">
        <v>0</v>
      </c>
      <c r="N52" s="16">
        <v>0</v>
      </c>
      <c r="O52" s="14">
        <v>0</v>
      </c>
      <c r="P52" s="16">
        <v>0</v>
      </c>
      <c r="Q52" s="14">
        <v>0</v>
      </c>
      <c r="R52" s="16">
        <v>0</v>
      </c>
      <c r="S52" s="14">
        <v>0</v>
      </c>
      <c r="T52" s="16">
        <v>0</v>
      </c>
    </row>
    <row r="53" spans="1:20" x14ac:dyDescent="0.25">
      <c r="A53" s="11" t="s">
        <v>186</v>
      </c>
      <c r="B53" s="13">
        <v>2811</v>
      </c>
      <c r="C53" s="14">
        <f>(2360/B53*100)</f>
        <v>83.955887584489503</v>
      </c>
      <c r="D53" s="15">
        <v>451</v>
      </c>
      <c r="E53" s="14">
        <v>70.603057089999993</v>
      </c>
      <c r="F53" s="16">
        <v>2.2640132799999999</v>
      </c>
      <c r="G53" s="14">
        <v>13.13198264</v>
      </c>
      <c r="H53" s="16">
        <v>1.6652990299999999</v>
      </c>
      <c r="I53" s="14">
        <v>16.264960259999999</v>
      </c>
      <c r="J53" s="16">
        <v>1.8469339499999999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(2248/B56*100)</f>
        <v>83.75558867362146</v>
      </c>
      <c r="D56" s="15">
        <v>436</v>
      </c>
      <c r="E56" s="14">
        <v>41.156584180000003</v>
      </c>
      <c r="F56" s="16">
        <v>2.9176842500000002</v>
      </c>
      <c r="G56" s="14">
        <v>7.2852398999999997</v>
      </c>
      <c r="H56" s="16">
        <v>1.58854936</v>
      </c>
      <c r="I56" s="14">
        <v>51.558175919999996</v>
      </c>
      <c r="J56" s="16">
        <v>3.0446991300000001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(2800/B61*100)</f>
        <v>84.235860409145616</v>
      </c>
      <c r="D61" s="15">
        <v>524</v>
      </c>
      <c r="E61" s="14">
        <v>64.488781329999995</v>
      </c>
      <c r="F61" s="16">
        <v>2.3924920099999998</v>
      </c>
      <c r="G61" s="14">
        <v>13.847669809999999</v>
      </c>
      <c r="H61" s="16">
        <v>1.6964858199999999</v>
      </c>
      <c r="I61" s="14">
        <v>21.663548859999999</v>
      </c>
      <c r="J61" s="16">
        <v>2.2183941699999998</v>
      </c>
      <c r="K61" s="14" t="s">
        <v>139</v>
      </c>
      <c r="L61" s="16" t="s">
        <v>139</v>
      </c>
      <c r="M61" s="14">
        <v>0</v>
      </c>
      <c r="N61" s="16">
        <v>0</v>
      </c>
      <c r="O61" s="14">
        <v>0</v>
      </c>
      <c r="P61" s="16">
        <v>0</v>
      </c>
      <c r="Q61" s="14">
        <v>0</v>
      </c>
      <c r="R61" s="16">
        <v>0</v>
      </c>
      <c r="S61" s="14">
        <v>0</v>
      </c>
      <c r="T61" s="16">
        <v>0</v>
      </c>
    </row>
    <row r="62" spans="1:20" x14ac:dyDescent="0.25">
      <c r="A62" s="11" t="s">
        <v>195</v>
      </c>
      <c r="B62" s="13">
        <v>2246</v>
      </c>
      <c r="C62" s="14">
        <f>(1857/B62*100)</f>
        <v>82.680320569902051</v>
      </c>
      <c r="D62" s="15">
        <v>389</v>
      </c>
      <c r="E62" s="14">
        <v>48.886924809999996</v>
      </c>
      <c r="F62" s="16">
        <v>2.5534096399999999</v>
      </c>
      <c r="G62" s="14">
        <v>9.2672877099999997</v>
      </c>
      <c r="H62" s="16">
        <v>1.5891685600000001</v>
      </c>
      <c r="I62" s="14">
        <v>41.845787489999999</v>
      </c>
      <c r="J62" s="16">
        <v>2.57825806</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(2461/B66*100)</f>
        <v>85.038009675190054</v>
      </c>
      <c r="D66" s="15">
        <v>433</v>
      </c>
      <c r="E66" s="14">
        <v>80.10333833</v>
      </c>
      <c r="F66" s="16">
        <v>2.0252935299999999</v>
      </c>
      <c r="G66" s="14">
        <v>11.819375279999999</v>
      </c>
      <c r="H66" s="16">
        <v>1.5642113099999999</v>
      </c>
      <c r="I66" s="14">
        <v>8.0772864000000002</v>
      </c>
      <c r="J66" s="16">
        <v>1.27463758</v>
      </c>
      <c r="K66" s="14" t="s">
        <v>139</v>
      </c>
      <c r="L66" s="16" t="s">
        <v>139</v>
      </c>
      <c r="M66" s="14">
        <v>0</v>
      </c>
      <c r="N66" s="16">
        <v>0</v>
      </c>
      <c r="O66" s="14">
        <v>0</v>
      </c>
      <c r="P66" s="16">
        <v>0</v>
      </c>
      <c r="Q66" s="14">
        <v>0</v>
      </c>
      <c r="R66" s="16">
        <v>0</v>
      </c>
      <c r="S66" s="14">
        <v>0</v>
      </c>
      <c r="T66" s="16">
        <v>0</v>
      </c>
    </row>
    <row r="67" spans="1:20" x14ac:dyDescent="0.25">
      <c r="A67" s="11" t="s">
        <v>200</v>
      </c>
      <c r="B67" s="13">
        <v>3511</v>
      </c>
      <c r="C67" s="14">
        <f>(3020/B67*100)</f>
        <v>86.015380233551696</v>
      </c>
      <c r="D67" s="15">
        <v>491</v>
      </c>
      <c r="E67" s="14">
        <v>81.84766836</v>
      </c>
      <c r="F67" s="16">
        <v>1.9460401000000001</v>
      </c>
      <c r="G67" s="14">
        <v>11.4481945</v>
      </c>
      <c r="H67" s="16">
        <v>1.67825015</v>
      </c>
      <c r="I67" s="14">
        <v>6.7041371500000002</v>
      </c>
      <c r="J67" s="16">
        <v>1.00910743</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(2460/B70*100)</f>
        <v>83.987709115739165</v>
      </c>
      <c r="D70" s="15">
        <v>469</v>
      </c>
      <c r="E70" s="14">
        <v>57.013237029999999</v>
      </c>
      <c r="F70" s="16">
        <v>2.25135101</v>
      </c>
      <c r="G70" s="14">
        <v>16.892208449999998</v>
      </c>
      <c r="H70" s="16">
        <v>1.587745</v>
      </c>
      <c r="I70" s="14">
        <v>26.094554519999999</v>
      </c>
      <c r="J70" s="16">
        <v>2.1161100400000001</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(3214/B72*100)</f>
        <v>82.643353047055797</v>
      </c>
      <c r="D72" s="15">
        <v>675</v>
      </c>
      <c r="E72" s="14">
        <v>49.896164390000003</v>
      </c>
      <c r="F72" s="16">
        <v>1.7587581299999999</v>
      </c>
      <c r="G72" s="14">
        <v>9.6466904200000005</v>
      </c>
      <c r="H72" s="16">
        <v>1.42992674</v>
      </c>
      <c r="I72" s="14">
        <v>40.457145189999999</v>
      </c>
      <c r="J72" s="16">
        <v>2.00118434</v>
      </c>
      <c r="K72" s="14" t="s">
        <v>139</v>
      </c>
      <c r="L72" s="16" t="s">
        <v>139</v>
      </c>
      <c r="M72" s="14">
        <v>0</v>
      </c>
      <c r="N72" s="16">
        <v>0</v>
      </c>
      <c r="O72" s="14">
        <v>0</v>
      </c>
      <c r="P72" s="16">
        <v>0</v>
      </c>
      <c r="Q72" s="14">
        <v>0</v>
      </c>
      <c r="R72" s="16">
        <v>0</v>
      </c>
      <c r="S72" s="14">
        <v>0</v>
      </c>
      <c r="T72" s="16">
        <v>0</v>
      </c>
    </row>
    <row r="73" spans="1:20" x14ac:dyDescent="0.25">
      <c r="A73" s="11" t="s">
        <v>206</v>
      </c>
      <c r="B73" s="13">
        <v>3597</v>
      </c>
      <c r="C73" s="14">
        <f>(3033/B73*100)</f>
        <v>84.320266889074219</v>
      </c>
      <c r="D73" s="15">
        <v>564</v>
      </c>
      <c r="E73" s="14">
        <v>87.741728320000007</v>
      </c>
      <c r="F73" s="16">
        <v>1.63895217</v>
      </c>
      <c r="G73" s="14">
        <v>5.7384434300000002</v>
      </c>
      <c r="H73" s="16">
        <v>1.12954606</v>
      </c>
      <c r="I73" s="14">
        <v>6.5198282499999998</v>
      </c>
      <c r="J73" s="16">
        <v>1.17319229</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(2058/B75*100)</f>
        <v>85.536159600997507</v>
      </c>
      <c r="D75" s="15">
        <v>348</v>
      </c>
      <c r="E75" s="14">
        <v>89.158953600000004</v>
      </c>
      <c r="F75" s="16">
        <v>1.6479311699999999</v>
      </c>
      <c r="G75" s="14">
        <v>7.0434892800000002</v>
      </c>
      <c r="H75" s="16">
        <v>1.46240741</v>
      </c>
      <c r="I75" s="14">
        <v>3.7975571100000001</v>
      </c>
      <c r="J75" s="16">
        <v>1.22666458</v>
      </c>
      <c r="K75" s="14" t="s">
        <v>139</v>
      </c>
      <c r="L75" s="16" t="s">
        <v>139</v>
      </c>
      <c r="M75" s="14">
        <v>0</v>
      </c>
      <c r="N75" s="16">
        <v>0</v>
      </c>
      <c r="O75" s="14">
        <v>0</v>
      </c>
      <c r="P75" s="16">
        <v>0</v>
      </c>
      <c r="Q75" s="14">
        <v>0</v>
      </c>
      <c r="R75" s="16">
        <v>0</v>
      </c>
      <c r="S75" s="14">
        <v>0</v>
      </c>
      <c r="T75" s="16">
        <v>0</v>
      </c>
    </row>
    <row r="76" spans="1:20" x14ac:dyDescent="0.25">
      <c r="A76" s="11" t="s">
        <v>209</v>
      </c>
      <c r="B76" s="13">
        <v>7052</v>
      </c>
      <c r="C76" s="14">
        <f>(5875/B76*100)</f>
        <v>83.309699376063534</v>
      </c>
      <c r="D76" s="15">
        <v>1177</v>
      </c>
      <c r="E76" s="14">
        <v>76.480315200000007</v>
      </c>
      <c r="F76" s="16">
        <v>1.46249221</v>
      </c>
      <c r="G76" s="14">
        <v>13.34546557</v>
      </c>
      <c r="H76" s="16">
        <v>1.13782779</v>
      </c>
      <c r="I76" s="14">
        <v>10.17421923</v>
      </c>
      <c r="J76" s="16">
        <v>1.0875037700000001</v>
      </c>
      <c r="K76" s="14" t="s">
        <v>139</v>
      </c>
      <c r="L76" s="16" t="s">
        <v>139</v>
      </c>
      <c r="M76" s="14">
        <v>0</v>
      </c>
      <c r="N76" s="16">
        <v>0</v>
      </c>
      <c r="O76" s="14">
        <v>0</v>
      </c>
      <c r="P76" s="16">
        <v>0</v>
      </c>
      <c r="Q76" s="14">
        <v>0</v>
      </c>
      <c r="R76" s="16">
        <v>0</v>
      </c>
      <c r="S76" s="14">
        <v>0</v>
      </c>
      <c r="T76" s="16">
        <v>0</v>
      </c>
    </row>
    <row r="77" spans="1:20" x14ac:dyDescent="0.25">
      <c r="A77" s="11" t="s">
        <v>210</v>
      </c>
      <c r="B77" s="13">
        <v>2908</v>
      </c>
      <c r="C77" s="14">
        <f>(2486/B77*100)</f>
        <v>85.488308115543333</v>
      </c>
      <c r="D77" s="15">
        <v>422</v>
      </c>
      <c r="E77" s="14">
        <v>70.353736799999993</v>
      </c>
      <c r="F77" s="16">
        <v>2.3167359200000002</v>
      </c>
      <c r="G77" s="14">
        <v>16.23713583</v>
      </c>
      <c r="H77" s="16">
        <v>1.9145326899999999</v>
      </c>
      <c r="I77" s="14">
        <v>13.40912737</v>
      </c>
      <c r="J77" s="16">
        <v>1.96300962</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(3463/B81*100)</f>
        <v>83.185202978621192</v>
      </c>
      <c r="D81" s="15">
        <v>700</v>
      </c>
      <c r="E81" s="14">
        <v>76.307807560000001</v>
      </c>
      <c r="F81" s="16">
        <v>1.7555687900000001</v>
      </c>
      <c r="G81" s="14">
        <v>9.1797522300000001</v>
      </c>
      <c r="H81" s="16">
        <v>1.1954414499999999</v>
      </c>
      <c r="I81" s="14">
        <v>14.5124402</v>
      </c>
      <c r="J81" s="16">
        <v>1.5005744599999999</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V96"/>
  <sheetViews>
    <sheetView zoomScale="80" workbookViewId="0">
      <pane xSplit="4" topLeftCell="E1" activePane="topRight" state="frozen"/>
      <selection pane="topRight" sqref="A1:V1"/>
    </sheetView>
  </sheetViews>
  <sheetFormatPr defaultColWidth="11.42578125" defaultRowHeight="15" x14ac:dyDescent="0.25"/>
  <cols>
    <col min="1" max="1" width="50" customWidth="1"/>
  </cols>
  <sheetData>
    <row r="1" spans="1:22" x14ac:dyDescent="0.25">
      <c r="A1" s="25" t="s">
        <v>122</v>
      </c>
      <c r="B1" s="26"/>
      <c r="C1" s="26"/>
      <c r="D1" s="26"/>
      <c r="E1" s="26"/>
      <c r="F1" s="26"/>
      <c r="G1" s="26"/>
      <c r="H1" s="26"/>
      <c r="I1" s="26"/>
      <c r="J1" s="26"/>
      <c r="K1" s="26"/>
      <c r="L1" s="26"/>
      <c r="M1" s="26"/>
      <c r="N1" s="26"/>
      <c r="O1" s="26"/>
      <c r="P1" s="26"/>
      <c r="Q1" s="26"/>
      <c r="R1" s="26"/>
      <c r="S1" s="26"/>
      <c r="T1" s="26"/>
      <c r="U1" s="26"/>
      <c r="V1" s="26"/>
    </row>
    <row r="2" spans="1:22" x14ac:dyDescent="0.25">
      <c r="A2" s="27" t="s">
        <v>332</v>
      </c>
      <c r="B2" s="26"/>
      <c r="C2" s="26"/>
      <c r="D2" s="26"/>
      <c r="E2" s="26"/>
      <c r="F2" s="26"/>
      <c r="G2" s="26"/>
      <c r="H2" s="26"/>
      <c r="I2" s="26"/>
      <c r="J2" s="26"/>
      <c r="K2" s="26"/>
      <c r="L2" s="26"/>
      <c r="M2" s="26"/>
      <c r="N2" s="26"/>
      <c r="O2" s="26"/>
      <c r="P2" s="26"/>
      <c r="Q2" s="26"/>
      <c r="R2" s="26"/>
      <c r="S2" s="26"/>
      <c r="T2" s="26"/>
      <c r="U2" s="26"/>
      <c r="V2" s="26"/>
    </row>
    <row r="4" spans="1:22" ht="30" customHeight="1" x14ac:dyDescent="0.25">
      <c r="A4" s="4"/>
      <c r="B4" s="5" t="s">
        <v>123</v>
      </c>
      <c r="C4" s="5" t="s">
        <v>124</v>
      </c>
      <c r="D4" s="6" t="s">
        <v>123</v>
      </c>
      <c r="E4" s="23" t="s">
        <v>230</v>
      </c>
      <c r="F4" s="24"/>
      <c r="G4" s="23" t="s">
        <v>231</v>
      </c>
      <c r="H4" s="24"/>
      <c r="I4" s="23" t="s">
        <v>232</v>
      </c>
      <c r="J4" s="24"/>
      <c r="K4" s="23" t="s">
        <v>233</v>
      </c>
      <c r="L4" s="24"/>
      <c r="M4" s="23" t="s">
        <v>127</v>
      </c>
      <c r="N4" s="24"/>
      <c r="O4" s="23" t="s">
        <v>128</v>
      </c>
      <c r="P4" s="24"/>
      <c r="Q4" s="23" t="s">
        <v>129</v>
      </c>
      <c r="R4" s="24"/>
      <c r="S4" s="23" t="s">
        <v>130</v>
      </c>
      <c r="T4" s="24"/>
      <c r="U4" s="23" t="s">
        <v>131</v>
      </c>
      <c r="V4" s="24"/>
    </row>
    <row r="5" spans="1:22"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c r="U5" s="8" t="s">
        <v>135</v>
      </c>
      <c r="V5" s="7" t="s">
        <v>136</v>
      </c>
    </row>
    <row r="6" spans="1:22" x14ac:dyDescent="0.25">
      <c r="A6" s="9" t="s">
        <v>137</v>
      </c>
      <c r="B6" s="10"/>
      <c r="C6" s="10"/>
      <c r="D6" s="11"/>
      <c r="E6" s="10"/>
      <c r="F6" s="11"/>
      <c r="G6" s="10"/>
      <c r="H6" s="11"/>
      <c r="I6" s="10"/>
      <c r="J6" s="11"/>
      <c r="K6" s="10"/>
      <c r="L6" s="11"/>
      <c r="M6" s="10"/>
      <c r="N6" s="11"/>
      <c r="O6" s="10"/>
      <c r="P6" s="11"/>
      <c r="Q6" s="10"/>
      <c r="R6" s="11"/>
      <c r="S6" s="10"/>
      <c r="T6" s="11"/>
      <c r="U6" s="10"/>
      <c r="V6" s="12"/>
    </row>
    <row r="7" spans="1:22" x14ac:dyDescent="0.25">
      <c r="A7" s="11" t="s">
        <v>138</v>
      </c>
      <c r="B7" s="13">
        <v>7367</v>
      </c>
      <c r="C7" s="14">
        <f>(6194/B7*100)</f>
        <v>84.077643545540923</v>
      </c>
      <c r="D7" s="15">
        <v>1173</v>
      </c>
      <c r="E7" s="14">
        <v>49.351060140000001</v>
      </c>
      <c r="F7" s="16">
        <v>1.54902158</v>
      </c>
      <c r="G7" s="14">
        <v>2.93195278</v>
      </c>
      <c r="H7" s="16">
        <v>0.63334972</v>
      </c>
      <c r="I7" s="14">
        <v>28.48452296</v>
      </c>
      <c r="J7" s="16">
        <v>1.60275608</v>
      </c>
      <c r="K7" s="14">
        <v>19.232464119999999</v>
      </c>
      <c r="L7" s="16">
        <v>1.3983449999999999</v>
      </c>
      <c r="M7" s="14" t="s">
        <v>139</v>
      </c>
      <c r="N7" s="16" t="s">
        <v>139</v>
      </c>
      <c r="O7" s="14">
        <v>0</v>
      </c>
      <c r="P7" s="16">
        <v>0</v>
      </c>
      <c r="Q7" s="14">
        <v>0</v>
      </c>
      <c r="R7" s="16">
        <v>0</v>
      </c>
      <c r="S7" s="14">
        <v>0</v>
      </c>
      <c r="T7" s="16">
        <v>0</v>
      </c>
      <c r="U7" s="14">
        <v>0</v>
      </c>
      <c r="V7" s="16">
        <v>0</v>
      </c>
    </row>
    <row r="8" spans="1:22" x14ac:dyDescent="0.25">
      <c r="A8" s="11" t="s">
        <v>140</v>
      </c>
      <c r="B8" s="13">
        <v>3564</v>
      </c>
      <c r="C8" s="14">
        <f>(2968/B8*100)</f>
        <v>83.277216610549942</v>
      </c>
      <c r="D8" s="15">
        <v>596</v>
      </c>
      <c r="E8" s="14">
        <v>53.668403320000003</v>
      </c>
      <c r="F8" s="16">
        <v>2.2673453600000002</v>
      </c>
      <c r="G8" s="14">
        <v>2.4492472799999998</v>
      </c>
      <c r="H8" s="16">
        <v>0.70060739000000005</v>
      </c>
      <c r="I8" s="14">
        <v>28.728105639999999</v>
      </c>
      <c r="J8" s="16">
        <v>2.0269536499999998</v>
      </c>
      <c r="K8" s="14">
        <v>15.15424376</v>
      </c>
      <c r="L8" s="16">
        <v>1.5640214800000001</v>
      </c>
      <c r="M8" s="14" t="s">
        <v>139</v>
      </c>
      <c r="N8" s="16" t="s">
        <v>139</v>
      </c>
      <c r="O8" s="14">
        <v>0</v>
      </c>
      <c r="P8" s="16">
        <v>0</v>
      </c>
      <c r="Q8" s="14">
        <v>0</v>
      </c>
      <c r="R8" s="16">
        <v>0</v>
      </c>
      <c r="S8" s="14">
        <v>0</v>
      </c>
      <c r="T8" s="16">
        <v>0</v>
      </c>
      <c r="U8" s="14">
        <v>0</v>
      </c>
      <c r="V8" s="16">
        <v>0</v>
      </c>
    </row>
    <row r="9" spans="1:22" x14ac:dyDescent="0.25">
      <c r="A9" s="11" t="s">
        <v>141</v>
      </c>
      <c r="B9" s="13">
        <v>4899</v>
      </c>
      <c r="C9" s="14">
        <f>(4133/B9*100)</f>
        <v>84.364155950193918</v>
      </c>
      <c r="D9" s="15">
        <v>766</v>
      </c>
      <c r="E9" s="14">
        <v>60.068930539999997</v>
      </c>
      <c r="F9" s="16">
        <v>1.70260886</v>
      </c>
      <c r="G9" s="14">
        <v>3.0950814599999998</v>
      </c>
      <c r="H9" s="16">
        <v>0.65471878999999999</v>
      </c>
      <c r="I9" s="14">
        <v>24.78456598</v>
      </c>
      <c r="J9" s="16">
        <v>1.6282555299999999</v>
      </c>
      <c r="K9" s="14">
        <v>12.05142202</v>
      </c>
      <c r="L9" s="16">
        <v>1.0864657200000001</v>
      </c>
      <c r="M9" s="14" t="s">
        <v>139</v>
      </c>
      <c r="N9" s="16" t="s">
        <v>139</v>
      </c>
      <c r="O9" s="14">
        <v>0</v>
      </c>
      <c r="P9" s="16">
        <v>0</v>
      </c>
      <c r="Q9" s="14">
        <v>0</v>
      </c>
      <c r="R9" s="16">
        <v>0</v>
      </c>
      <c r="S9" s="14">
        <v>0</v>
      </c>
      <c r="T9" s="16">
        <v>0</v>
      </c>
      <c r="U9" s="14">
        <v>0</v>
      </c>
      <c r="V9" s="16">
        <v>0</v>
      </c>
    </row>
    <row r="10" spans="1:22" x14ac:dyDescent="0.25">
      <c r="A10" s="11" t="s">
        <v>142</v>
      </c>
      <c r="B10" s="13">
        <v>10036</v>
      </c>
      <c r="C10" s="14">
        <f>(8378/B10*100)</f>
        <v>83.479473893981677</v>
      </c>
      <c r="D10" s="15">
        <v>1658</v>
      </c>
      <c r="E10" s="14">
        <v>48.523988119999999</v>
      </c>
      <c r="F10" s="16">
        <v>1.8097426299999999</v>
      </c>
      <c r="G10" s="14">
        <v>2.4967552400000002</v>
      </c>
      <c r="H10" s="16">
        <v>0.59162408</v>
      </c>
      <c r="I10" s="14">
        <v>27.37363199</v>
      </c>
      <c r="J10" s="16">
        <v>1.52137407</v>
      </c>
      <c r="K10" s="14">
        <v>21.605624639999998</v>
      </c>
      <c r="L10" s="16">
        <v>1.2932317600000001</v>
      </c>
      <c r="M10" s="14" t="s">
        <v>139</v>
      </c>
      <c r="N10" s="16" t="s">
        <v>139</v>
      </c>
      <c r="O10" s="14">
        <v>0</v>
      </c>
      <c r="P10" s="16">
        <v>0</v>
      </c>
      <c r="Q10" s="14">
        <v>0</v>
      </c>
      <c r="R10" s="16">
        <v>0</v>
      </c>
      <c r="S10" s="14">
        <v>0</v>
      </c>
      <c r="T10" s="16">
        <v>0</v>
      </c>
      <c r="U10" s="14">
        <v>0</v>
      </c>
      <c r="V10" s="16">
        <v>0</v>
      </c>
    </row>
    <row r="11" spans="1:22" x14ac:dyDescent="0.25">
      <c r="A11" s="11" t="s">
        <v>143</v>
      </c>
      <c r="B11" s="13">
        <v>3553</v>
      </c>
      <c r="C11" s="14">
        <f>(2994/B11*100)</f>
        <v>84.266816774556702</v>
      </c>
      <c r="D11" s="15">
        <v>559</v>
      </c>
      <c r="E11" s="14">
        <v>63.689290630000002</v>
      </c>
      <c r="F11" s="16">
        <v>2.6449106200000001</v>
      </c>
      <c r="G11" s="14">
        <v>3.94661624</v>
      </c>
      <c r="H11" s="16">
        <v>1.1316479500000001</v>
      </c>
      <c r="I11" s="14">
        <v>18.27546671</v>
      </c>
      <c r="J11" s="16">
        <v>1.8666337500000001</v>
      </c>
      <c r="K11" s="14">
        <v>14.088626420000001</v>
      </c>
      <c r="L11" s="16">
        <v>1.68807401</v>
      </c>
      <c r="M11" s="14" t="s">
        <v>139</v>
      </c>
      <c r="N11" s="16" t="s">
        <v>139</v>
      </c>
      <c r="O11" s="14">
        <v>0</v>
      </c>
      <c r="P11" s="16">
        <v>0</v>
      </c>
      <c r="Q11" s="14">
        <v>0</v>
      </c>
      <c r="R11" s="16">
        <v>0</v>
      </c>
      <c r="S11" s="14">
        <v>0</v>
      </c>
      <c r="T11" s="16">
        <v>0</v>
      </c>
      <c r="U11" s="14">
        <v>0</v>
      </c>
      <c r="V11" s="16">
        <v>0</v>
      </c>
    </row>
    <row r="12" spans="1:22" x14ac:dyDescent="0.25">
      <c r="A12" s="11" t="s">
        <v>144</v>
      </c>
      <c r="B12" s="13">
        <v>3472</v>
      </c>
      <c r="C12" s="14">
        <f>(2877/B12*100)</f>
        <v>82.862903225806448</v>
      </c>
      <c r="D12" s="15">
        <v>595</v>
      </c>
      <c r="E12" s="14">
        <v>64.183573030000005</v>
      </c>
      <c r="F12" s="16">
        <v>2.41244937</v>
      </c>
      <c r="G12" s="14">
        <v>3.4351234499999999</v>
      </c>
      <c r="H12" s="16">
        <v>0.87767759999999995</v>
      </c>
      <c r="I12" s="14">
        <v>18.53856678</v>
      </c>
      <c r="J12" s="16">
        <v>2.0837607600000001</v>
      </c>
      <c r="K12" s="14">
        <v>13.842736739999999</v>
      </c>
      <c r="L12" s="16">
        <v>1.6543505300000001</v>
      </c>
      <c r="M12" s="14" t="s">
        <v>139</v>
      </c>
      <c r="N12" s="16" t="s">
        <v>139</v>
      </c>
      <c r="O12" s="14">
        <v>0</v>
      </c>
      <c r="P12" s="16">
        <v>0</v>
      </c>
      <c r="Q12" s="14">
        <v>0</v>
      </c>
      <c r="R12" s="16">
        <v>0</v>
      </c>
      <c r="S12" s="14">
        <v>0</v>
      </c>
      <c r="T12" s="16">
        <v>0</v>
      </c>
      <c r="U12" s="14">
        <v>0</v>
      </c>
      <c r="V12" s="16">
        <v>0</v>
      </c>
    </row>
    <row r="13" spans="1:22" x14ac:dyDescent="0.25">
      <c r="A13" s="11" t="s">
        <v>145</v>
      </c>
      <c r="B13" s="13">
        <v>3559</v>
      </c>
      <c r="C13" s="14">
        <f>(3022/B13*100)</f>
        <v>84.911491992132625</v>
      </c>
      <c r="D13" s="15">
        <v>537</v>
      </c>
      <c r="E13" s="14">
        <v>55.213491689999998</v>
      </c>
      <c r="F13" s="16">
        <v>2.7690770900000001</v>
      </c>
      <c r="G13" s="14">
        <v>1.6598693799999999</v>
      </c>
      <c r="H13" s="16">
        <v>0.62579845999999995</v>
      </c>
      <c r="I13" s="14">
        <v>22.578391759999999</v>
      </c>
      <c r="J13" s="16">
        <v>2.5445110999999998</v>
      </c>
      <c r="K13" s="14">
        <v>20.548247159999999</v>
      </c>
      <c r="L13" s="16">
        <v>2.16399579</v>
      </c>
      <c r="M13" s="14" t="s">
        <v>139</v>
      </c>
      <c r="N13" s="16" t="s">
        <v>139</v>
      </c>
      <c r="O13" s="14">
        <v>0</v>
      </c>
      <c r="P13" s="16">
        <v>0</v>
      </c>
      <c r="Q13" s="14">
        <v>0</v>
      </c>
      <c r="R13" s="16">
        <v>0</v>
      </c>
      <c r="S13" s="14">
        <v>0</v>
      </c>
      <c r="T13" s="16">
        <v>0</v>
      </c>
      <c r="U13" s="14">
        <v>0</v>
      </c>
      <c r="V13" s="16">
        <v>0</v>
      </c>
    </row>
    <row r="14" spans="1:22" x14ac:dyDescent="0.25">
      <c r="A14" s="11" t="s">
        <v>146</v>
      </c>
      <c r="B14" s="13">
        <v>2799</v>
      </c>
      <c r="C14" s="14">
        <f>(2330/B14*100)</f>
        <v>83.244015719899963</v>
      </c>
      <c r="D14" s="15">
        <v>469</v>
      </c>
      <c r="E14" s="14">
        <v>52.844548250000003</v>
      </c>
      <c r="F14" s="16">
        <v>2.5001555500000001</v>
      </c>
      <c r="G14" s="14">
        <v>0.64727124000000003</v>
      </c>
      <c r="H14" s="16">
        <v>0.32124983000000001</v>
      </c>
      <c r="I14" s="14">
        <v>24.132130449999998</v>
      </c>
      <c r="J14" s="16">
        <v>2.14918283</v>
      </c>
      <c r="K14" s="14">
        <v>22.376050060000001</v>
      </c>
      <c r="L14" s="16">
        <v>2.0245901700000002</v>
      </c>
      <c r="M14" s="14" t="s">
        <v>139</v>
      </c>
      <c r="N14" s="16" t="s">
        <v>139</v>
      </c>
      <c r="O14" s="14">
        <v>0</v>
      </c>
      <c r="P14" s="16">
        <v>0</v>
      </c>
      <c r="Q14" s="14">
        <v>0</v>
      </c>
      <c r="R14" s="16">
        <v>0</v>
      </c>
      <c r="S14" s="14">
        <v>0</v>
      </c>
      <c r="T14" s="16">
        <v>0</v>
      </c>
      <c r="U14" s="14">
        <v>0</v>
      </c>
      <c r="V14" s="16">
        <v>0</v>
      </c>
    </row>
    <row r="15" spans="1:22" x14ac:dyDescent="0.25">
      <c r="A15" s="11" t="s">
        <v>147</v>
      </c>
      <c r="B15" s="13">
        <v>3019</v>
      </c>
      <c r="C15" s="14">
        <f>(2518/B15*100)</f>
        <v>83.405101026830081</v>
      </c>
      <c r="D15" s="15">
        <v>501</v>
      </c>
      <c r="E15" s="14">
        <v>48.566040080000001</v>
      </c>
      <c r="F15" s="16">
        <v>2.2539449</v>
      </c>
      <c r="G15" s="14">
        <v>1.7275216200000001</v>
      </c>
      <c r="H15" s="16">
        <v>0.59008148000000005</v>
      </c>
      <c r="I15" s="14">
        <v>24.94675835</v>
      </c>
      <c r="J15" s="16">
        <v>1.91406857</v>
      </c>
      <c r="K15" s="14">
        <v>24.759679949999999</v>
      </c>
      <c r="L15" s="16">
        <v>1.5583728999999999</v>
      </c>
      <c r="M15" s="14" t="s">
        <v>139</v>
      </c>
      <c r="N15" s="16" t="s">
        <v>139</v>
      </c>
      <c r="O15" s="14">
        <v>0</v>
      </c>
      <c r="P15" s="16">
        <v>0</v>
      </c>
      <c r="Q15" s="14">
        <v>0</v>
      </c>
      <c r="R15" s="16">
        <v>0</v>
      </c>
      <c r="S15" s="14">
        <v>0</v>
      </c>
      <c r="T15" s="16">
        <v>0</v>
      </c>
      <c r="U15" s="14">
        <v>0</v>
      </c>
      <c r="V15" s="16">
        <v>0</v>
      </c>
    </row>
    <row r="16" spans="1:22" x14ac:dyDescent="0.25">
      <c r="A16" s="11" t="s">
        <v>148</v>
      </c>
      <c r="B16" s="13">
        <v>2997</v>
      </c>
      <c r="C16" s="14">
        <f>(2533/B16*100)</f>
        <v>84.517851184517852</v>
      </c>
      <c r="D16" s="15">
        <v>464</v>
      </c>
      <c r="E16" s="14">
        <v>63.845857279999997</v>
      </c>
      <c r="F16" s="16">
        <v>2.45781691</v>
      </c>
      <c r="G16" s="14">
        <v>2.1745120999999998</v>
      </c>
      <c r="H16" s="16">
        <v>0.73830898</v>
      </c>
      <c r="I16" s="14">
        <v>21.339018729999999</v>
      </c>
      <c r="J16" s="16">
        <v>1.8845028800000001</v>
      </c>
      <c r="K16" s="14">
        <v>12.640611890000001</v>
      </c>
      <c r="L16" s="16">
        <v>1.81184941</v>
      </c>
      <c r="M16" s="14" t="s">
        <v>139</v>
      </c>
      <c r="N16" s="16" t="s">
        <v>139</v>
      </c>
      <c r="O16" s="14">
        <v>0</v>
      </c>
      <c r="P16" s="16">
        <v>0</v>
      </c>
      <c r="Q16" s="14">
        <v>0</v>
      </c>
      <c r="R16" s="16">
        <v>0</v>
      </c>
      <c r="S16" s="14">
        <v>0</v>
      </c>
      <c r="T16" s="16">
        <v>0</v>
      </c>
      <c r="U16" s="14">
        <v>0</v>
      </c>
      <c r="V16" s="16">
        <v>0</v>
      </c>
    </row>
    <row r="17" spans="1:22" x14ac:dyDescent="0.25">
      <c r="A17" s="11" t="s">
        <v>149</v>
      </c>
      <c r="B17" s="13">
        <v>3307</v>
      </c>
      <c r="C17" s="14">
        <f>(2815/B17*100)</f>
        <v>85.122467493196254</v>
      </c>
      <c r="D17" s="15">
        <v>492</v>
      </c>
      <c r="E17" s="14">
        <v>57.06686492</v>
      </c>
      <c r="F17" s="16">
        <v>2.3307031500000002</v>
      </c>
      <c r="G17" s="14">
        <v>2.3190164100000001</v>
      </c>
      <c r="H17" s="16">
        <v>0.63317860000000004</v>
      </c>
      <c r="I17" s="14">
        <v>27.192349270000001</v>
      </c>
      <c r="J17" s="16">
        <v>2.2038373500000001</v>
      </c>
      <c r="K17" s="14">
        <v>13.421769400000001</v>
      </c>
      <c r="L17" s="16">
        <v>1.6867448</v>
      </c>
      <c r="M17" s="14" t="s">
        <v>139</v>
      </c>
      <c r="N17" s="16" t="s">
        <v>139</v>
      </c>
      <c r="O17" s="14">
        <v>0</v>
      </c>
      <c r="P17" s="16">
        <v>0</v>
      </c>
      <c r="Q17" s="14">
        <v>0</v>
      </c>
      <c r="R17" s="16">
        <v>0</v>
      </c>
      <c r="S17" s="14">
        <v>0</v>
      </c>
      <c r="T17" s="16">
        <v>0</v>
      </c>
      <c r="U17" s="14">
        <v>0</v>
      </c>
      <c r="V17" s="16">
        <v>0</v>
      </c>
    </row>
    <row r="18" spans="1:22" x14ac:dyDescent="0.25">
      <c r="A18" s="11" t="s">
        <v>150</v>
      </c>
      <c r="B18" s="13">
        <v>2826</v>
      </c>
      <c r="C18" s="14">
        <f>(2356/B18*100)</f>
        <v>83.368719037508839</v>
      </c>
      <c r="D18" s="15">
        <v>470</v>
      </c>
      <c r="E18" s="14">
        <v>70.306770200000003</v>
      </c>
      <c r="F18" s="16">
        <v>2.4239385200000001</v>
      </c>
      <c r="G18" s="14">
        <v>2.8193714399999998</v>
      </c>
      <c r="H18" s="16">
        <v>0.74734328999999999</v>
      </c>
      <c r="I18" s="14">
        <v>15.431430900000001</v>
      </c>
      <c r="J18" s="16">
        <v>1.7440485100000001</v>
      </c>
      <c r="K18" s="14">
        <v>11.442427459999999</v>
      </c>
      <c r="L18" s="16">
        <v>1.80035067</v>
      </c>
      <c r="M18" s="14" t="s">
        <v>139</v>
      </c>
      <c r="N18" s="16" t="s">
        <v>139</v>
      </c>
      <c r="O18" s="14">
        <v>0</v>
      </c>
      <c r="P18" s="16">
        <v>0</v>
      </c>
      <c r="Q18" s="14">
        <v>0</v>
      </c>
      <c r="R18" s="16">
        <v>0</v>
      </c>
      <c r="S18" s="14">
        <v>0</v>
      </c>
      <c r="T18" s="16">
        <v>0</v>
      </c>
      <c r="U18" s="14">
        <v>0</v>
      </c>
      <c r="V18" s="16">
        <v>0</v>
      </c>
    </row>
    <row r="19" spans="1:22" x14ac:dyDescent="0.25">
      <c r="A19" s="11" t="s">
        <v>151</v>
      </c>
      <c r="B19" s="13">
        <v>2808</v>
      </c>
      <c r="C19" s="14">
        <f>(2359/B19*100)</f>
        <v>84.009971509971521</v>
      </c>
      <c r="D19" s="15">
        <v>449</v>
      </c>
      <c r="E19" s="14">
        <v>64.835871999999995</v>
      </c>
      <c r="F19" s="16">
        <v>2.3183669600000001</v>
      </c>
      <c r="G19" s="14">
        <v>4.2341076400000004</v>
      </c>
      <c r="H19" s="16">
        <v>1.2034978599999999</v>
      </c>
      <c r="I19" s="14">
        <v>15.464937750000001</v>
      </c>
      <c r="J19" s="16">
        <v>1.50487576</v>
      </c>
      <c r="K19" s="14">
        <v>15.46508261</v>
      </c>
      <c r="L19" s="16">
        <v>1.97817713</v>
      </c>
      <c r="M19" s="14" t="s">
        <v>139</v>
      </c>
      <c r="N19" s="16" t="s">
        <v>139</v>
      </c>
      <c r="O19" s="14">
        <v>0</v>
      </c>
      <c r="P19" s="16">
        <v>0</v>
      </c>
      <c r="Q19" s="14">
        <v>0</v>
      </c>
      <c r="R19" s="16">
        <v>0</v>
      </c>
      <c r="S19" s="14">
        <v>0</v>
      </c>
      <c r="T19" s="16">
        <v>0</v>
      </c>
      <c r="U19" s="14">
        <v>0</v>
      </c>
      <c r="V19" s="16">
        <v>0</v>
      </c>
    </row>
    <row r="20" spans="1:22" x14ac:dyDescent="0.25">
      <c r="A20" s="11" t="s">
        <v>152</v>
      </c>
      <c r="B20" s="13">
        <v>1630</v>
      </c>
      <c r="C20" s="14">
        <f>(1370/B20*100)</f>
        <v>84.049079754601223</v>
      </c>
      <c r="D20" s="15">
        <v>260</v>
      </c>
      <c r="E20" s="14">
        <v>54.971666640000002</v>
      </c>
      <c r="F20" s="16">
        <v>3.0117713300000002</v>
      </c>
      <c r="G20" s="14">
        <v>0.82234985000000005</v>
      </c>
      <c r="H20" s="16">
        <v>0.59556348000000003</v>
      </c>
      <c r="I20" s="14">
        <v>31.125948399999999</v>
      </c>
      <c r="J20" s="16">
        <v>2.76826455</v>
      </c>
      <c r="K20" s="14">
        <v>13.080035110000001</v>
      </c>
      <c r="L20" s="16">
        <v>2.3131589899999998</v>
      </c>
      <c r="M20" s="14" t="s">
        <v>139</v>
      </c>
      <c r="N20" s="16" t="s">
        <v>139</v>
      </c>
      <c r="O20" s="14">
        <v>0</v>
      </c>
      <c r="P20" s="16">
        <v>0</v>
      </c>
      <c r="Q20" s="14">
        <v>0</v>
      </c>
      <c r="R20" s="16">
        <v>0</v>
      </c>
      <c r="S20" s="14">
        <v>0</v>
      </c>
      <c r="T20" s="16">
        <v>0</v>
      </c>
      <c r="U20" s="14">
        <v>0</v>
      </c>
      <c r="V20" s="16">
        <v>0</v>
      </c>
    </row>
    <row r="21" spans="1:22"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c r="U21" s="17" t="s">
        <v>154</v>
      </c>
      <c r="V21" s="18" t="s">
        <v>154</v>
      </c>
    </row>
    <row r="22" spans="1:22" x14ac:dyDescent="0.25">
      <c r="A22" s="11" t="s">
        <v>155</v>
      </c>
      <c r="B22" s="13">
        <v>2931</v>
      </c>
      <c r="C22" s="14">
        <f>(2460/B22*100)</f>
        <v>83.930399181166834</v>
      </c>
      <c r="D22" s="15">
        <v>471</v>
      </c>
      <c r="E22" s="14">
        <v>64.274660299999994</v>
      </c>
      <c r="F22" s="16">
        <v>2.1195658599999998</v>
      </c>
      <c r="G22" s="14">
        <v>5.3946228600000001</v>
      </c>
      <c r="H22" s="16">
        <v>1.10609856</v>
      </c>
      <c r="I22" s="14">
        <v>18.641076210000001</v>
      </c>
      <c r="J22" s="16">
        <v>1.97502398</v>
      </c>
      <c r="K22" s="14">
        <v>11.68964063</v>
      </c>
      <c r="L22" s="16">
        <v>1.59390331</v>
      </c>
      <c r="M22" s="14" t="s">
        <v>139</v>
      </c>
      <c r="N22" s="16" t="s">
        <v>139</v>
      </c>
      <c r="O22" s="14">
        <v>0</v>
      </c>
      <c r="P22" s="16">
        <v>0</v>
      </c>
      <c r="Q22" s="14">
        <v>0</v>
      </c>
      <c r="R22" s="16">
        <v>0</v>
      </c>
      <c r="S22" s="14">
        <v>0</v>
      </c>
      <c r="T22" s="16">
        <v>0</v>
      </c>
      <c r="U22" s="14">
        <v>0</v>
      </c>
      <c r="V22" s="16">
        <v>0</v>
      </c>
    </row>
    <row r="23" spans="1:22" x14ac:dyDescent="0.25">
      <c r="A23" s="11" t="s">
        <v>156</v>
      </c>
      <c r="B23" s="13">
        <v>5791</v>
      </c>
      <c r="C23" s="14">
        <f>(4825/B23*100)</f>
        <v>83.318943187705059</v>
      </c>
      <c r="D23" s="15">
        <v>966</v>
      </c>
      <c r="E23" s="14">
        <v>65.10178535</v>
      </c>
      <c r="F23" s="16">
        <v>2.1130190899999999</v>
      </c>
      <c r="G23" s="14">
        <v>3.050306</v>
      </c>
      <c r="H23" s="16">
        <v>0.74861332000000003</v>
      </c>
      <c r="I23" s="14">
        <v>19.76065139</v>
      </c>
      <c r="J23" s="16">
        <v>1.9310202400000001</v>
      </c>
      <c r="K23" s="14">
        <v>12.08725725</v>
      </c>
      <c r="L23" s="16">
        <v>1.47274953</v>
      </c>
      <c r="M23" s="14" t="s">
        <v>139</v>
      </c>
      <c r="N23" s="16" t="s">
        <v>139</v>
      </c>
      <c r="O23" s="14">
        <v>0</v>
      </c>
      <c r="P23" s="16">
        <v>0</v>
      </c>
      <c r="Q23" s="14">
        <v>0</v>
      </c>
      <c r="R23" s="16">
        <v>0</v>
      </c>
      <c r="S23" s="14">
        <v>0</v>
      </c>
      <c r="T23" s="16">
        <v>0</v>
      </c>
      <c r="U23" s="14">
        <v>0</v>
      </c>
      <c r="V23" s="16">
        <v>0</v>
      </c>
    </row>
    <row r="24" spans="1:22" x14ac:dyDescent="0.25">
      <c r="A24" s="11" t="s">
        <v>157</v>
      </c>
      <c r="B24" s="13">
        <v>3338</v>
      </c>
      <c r="C24" s="14">
        <f>(2784/B24*100)</f>
        <v>83.403235470341514</v>
      </c>
      <c r="D24" s="15">
        <v>554</v>
      </c>
      <c r="E24" s="14">
        <v>34.847366770000001</v>
      </c>
      <c r="F24" s="16">
        <v>2.1874453599999999</v>
      </c>
      <c r="G24" s="14">
        <v>10.016458650000001</v>
      </c>
      <c r="H24" s="16">
        <v>1.2823014399999999</v>
      </c>
      <c r="I24" s="14">
        <v>13.40426881</v>
      </c>
      <c r="J24" s="16">
        <v>1.5310250400000001</v>
      </c>
      <c r="K24" s="14">
        <v>41.731905769999997</v>
      </c>
      <c r="L24" s="16">
        <v>2.0808849600000001</v>
      </c>
      <c r="M24" s="14" t="s">
        <v>139</v>
      </c>
      <c r="N24" s="16" t="s">
        <v>139</v>
      </c>
      <c r="O24" s="14">
        <v>0</v>
      </c>
      <c r="P24" s="16">
        <v>0</v>
      </c>
      <c r="Q24" s="14">
        <v>0</v>
      </c>
      <c r="R24" s="16">
        <v>0</v>
      </c>
      <c r="S24" s="14">
        <v>0</v>
      </c>
      <c r="T24" s="16">
        <v>0</v>
      </c>
      <c r="U24" s="14">
        <v>0</v>
      </c>
      <c r="V24" s="16">
        <v>0</v>
      </c>
    </row>
    <row r="25" spans="1:22" x14ac:dyDescent="0.25">
      <c r="A25" s="11" t="s">
        <v>158</v>
      </c>
      <c r="B25" s="13">
        <v>2912</v>
      </c>
      <c r="C25" s="14">
        <f>(2409/B25*100)</f>
        <v>82.72664835164835</v>
      </c>
      <c r="D25" s="15">
        <v>503</v>
      </c>
      <c r="E25" s="14">
        <v>44.778880790000002</v>
      </c>
      <c r="F25" s="16">
        <v>2.4723979300000001</v>
      </c>
      <c r="G25" s="14">
        <v>0.61105103999999999</v>
      </c>
      <c r="H25" s="16">
        <v>0.35916417</v>
      </c>
      <c r="I25" s="14">
        <v>33.554857249999998</v>
      </c>
      <c r="J25" s="16">
        <v>2.0202333700000001</v>
      </c>
      <c r="K25" s="14">
        <v>21.05521092</v>
      </c>
      <c r="L25" s="16">
        <v>1.79005327</v>
      </c>
      <c r="M25" s="14" t="s">
        <v>139</v>
      </c>
      <c r="N25" s="16" t="s">
        <v>139</v>
      </c>
      <c r="O25" s="14">
        <v>0</v>
      </c>
      <c r="P25" s="16">
        <v>0</v>
      </c>
      <c r="Q25" s="14">
        <v>0</v>
      </c>
      <c r="R25" s="16">
        <v>0</v>
      </c>
      <c r="S25" s="14">
        <v>0</v>
      </c>
      <c r="T25" s="16">
        <v>0</v>
      </c>
      <c r="U25" s="14">
        <v>0</v>
      </c>
      <c r="V25" s="16">
        <v>0</v>
      </c>
    </row>
    <row r="26" spans="1:22" x14ac:dyDescent="0.25">
      <c r="A26" s="11" t="s">
        <v>159</v>
      </c>
      <c r="B26" s="13">
        <v>2450</v>
      </c>
      <c r="C26" s="14">
        <f>(2051/B26*100)</f>
        <v>83.714285714285722</v>
      </c>
      <c r="D26" s="15">
        <v>399</v>
      </c>
      <c r="E26" s="14">
        <v>65.933018489999995</v>
      </c>
      <c r="F26" s="16">
        <v>2.6087362600000001</v>
      </c>
      <c r="G26" s="14">
        <v>4.1405328600000004</v>
      </c>
      <c r="H26" s="16">
        <v>1.07310131</v>
      </c>
      <c r="I26" s="14">
        <v>19.487084930000002</v>
      </c>
      <c r="J26" s="16">
        <v>2.2212384300000001</v>
      </c>
      <c r="K26" s="14">
        <v>10.43936371</v>
      </c>
      <c r="L26" s="16">
        <v>1.7074126300000001</v>
      </c>
      <c r="M26" s="14" t="s">
        <v>139</v>
      </c>
      <c r="N26" s="16" t="s">
        <v>139</v>
      </c>
      <c r="O26" s="14">
        <v>0</v>
      </c>
      <c r="P26" s="16">
        <v>0</v>
      </c>
      <c r="Q26" s="14">
        <v>0</v>
      </c>
      <c r="R26" s="16">
        <v>0</v>
      </c>
      <c r="S26" s="14">
        <v>0</v>
      </c>
      <c r="T26" s="16">
        <v>0</v>
      </c>
      <c r="U26" s="14">
        <v>0</v>
      </c>
      <c r="V26" s="16">
        <v>0</v>
      </c>
    </row>
    <row r="27" spans="1:22" x14ac:dyDescent="0.25">
      <c r="A27" s="11" t="s">
        <v>160</v>
      </c>
      <c r="B27" s="13">
        <v>2616</v>
      </c>
      <c r="C27" s="14">
        <f>(2200/B27*100)</f>
        <v>84.097859327217122</v>
      </c>
      <c r="D27" s="15">
        <v>416</v>
      </c>
      <c r="E27" s="14">
        <v>64.630999489999994</v>
      </c>
      <c r="F27" s="16">
        <v>2.2020699499999998</v>
      </c>
      <c r="G27" s="14">
        <v>1.9423299300000001</v>
      </c>
      <c r="H27" s="16">
        <v>0.76905831000000002</v>
      </c>
      <c r="I27" s="14">
        <v>23.064528620000001</v>
      </c>
      <c r="J27" s="16">
        <v>2.0366093900000002</v>
      </c>
      <c r="K27" s="14">
        <v>10.362141960000001</v>
      </c>
      <c r="L27" s="16">
        <v>1.4293475200000001</v>
      </c>
      <c r="M27" s="14" t="s">
        <v>139</v>
      </c>
      <c r="N27" s="16" t="s">
        <v>139</v>
      </c>
      <c r="O27" s="14">
        <v>0</v>
      </c>
      <c r="P27" s="16">
        <v>0</v>
      </c>
      <c r="Q27" s="14">
        <v>0</v>
      </c>
      <c r="R27" s="16">
        <v>0</v>
      </c>
      <c r="S27" s="14">
        <v>0</v>
      </c>
      <c r="T27" s="16">
        <v>0</v>
      </c>
      <c r="U27" s="14">
        <v>0</v>
      </c>
      <c r="V27" s="16">
        <v>0</v>
      </c>
    </row>
    <row r="28" spans="1:22" x14ac:dyDescent="0.25">
      <c r="A28" s="11" t="s">
        <v>161</v>
      </c>
      <c r="B28" s="13">
        <v>3765</v>
      </c>
      <c r="C28" s="14">
        <f>(3204/B28*100)</f>
        <v>85.099601593625493</v>
      </c>
      <c r="D28" s="15">
        <v>561</v>
      </c>
      <c r="E28" s="14">
        <v>66.376178980000006</v>
      </c>
      <c r="F28" s="16">
        <v>2.2528370099999999</v>
      </c>
      <c r="G28" s="14">
        <v>5.5758894799999998</v>
      </c>
      <c r="H28" s="16">
        <v>1.39437346</v>
      </c>
      <c r="I28" s="14">
        <v>17.151466419999998</v>
      </c>
      <c r="J28" s="16">
        <v>1.84892827</v>
      </c>
      <c r="K28" s="14">
        <v>10.896465109999999</v>
      </c>
      <c r="L28" s="16">
        <v>1.5017880100000001</v>
      </c>
      <c r="M28" s="14" t="s">
        <v>139</v>
      </c>
      <c r="N28" s="16" t="s">
        <v>139</v>
      </c>
      <c r="O28" s="14">
        <v>0</v>
      </c>
      <c r="P28" s="16">
        <v>0</v>
      </c>
      <c r="Q28" s="14">
        <v>0</v>
      </c>
      <c r="R28" s="16">
        <v>0</v>
      </c>
      <c r="S28" s="14">
        <v>0</v>
      </c>
      <c r="T28" s="16">
        <v>0</v>
      </c>
      <c r="U28" s="14">
        <v>0</v>
      </c>
      <c r="V28" s="16">
        <v>0</v>
      </c>
    </row>
    <row r="29" spans="1:22" x14ac:dyDescent="0.25">
      <c r="A29" s="11" t="s">
        <v>162</v>
      </c>
      <c r="B29" s="13">
        <v>2685</v>
      </c>
      <c r="C29" s="14">
        <f>(2235/B29*100)</f>
        <v>83.240223463687144</v>
      </c>
      <c r="D29" s="15">
        <v>450</v>
      </c>
      <c r="E29" s="14">
        <v>52.849967640000003</v>
      </c>
      <c r="F29" s="16">
        <v>2.1075351000000002</v>
      </c>
      <c r="G29" s="14">
        <v>1.92926149</v>
      </c>
      <c r="H29" s="16">
        <v>0.63144148</v>
      </c>
      <c r="I29" s="14">
        <v>34.932928850000003</v>
      </c>
      <c r="J29" s="16">
        <v>2.02857449</v>
      </c>
      <c r="K29" s="14">
        <v>10.28784203</v>
      </c>
      <c r="L29" s="16">
        <v>1.2447373500000001</v>
      </c>
      <c r="M29" s="14" t="s">
        <v>139</v>
      </c>
      <c r="N29" s="16" t="s">
        <v>139</v>
      </c>
      <c r="O29" s="14">
        <v>0</v>
      </c>
      <c r="P29" s="16">
        <v>0</v>
      </c>
      <c r="Q29" s="14">
        <v>0</v>
      </c>
      <c r="R29" s="16">
        <v>0</v>
      </c>
      <c r="S29" s="14">
        <v>0</v>
      </c>
      <c r="T29" s="16">
        <v>0</v>
      </c>
      <c r="U29" s="14">
        <v>0</v>
      </c>
      <c r="V29" s="16">
        <v>0</v>
      </c>
    </row>
    <row r="30" spans="1:22" x14ac:dyDescent="0.25">
      <c r="A30" s="11" t="s">
        <v>163</v>
      </c>
      <c r="B30" s="13">
        <v>2263</v>
      </c>
      <c r="C30" s="14">
        <f>(1903/B30*100)</f>
        <v>84.091913389306228</v>
      </c>
      <c r="D30" s="15">
        <v>360</v>
      </c>
      <c r="E30" s="14">
        <v>47.233770739999997</v>
      </c>
      <c r="F30" s="16">
        <v>2.6355483899999999</v>
      </c>
      <c r="G30" s="14">
        <v>1.9854311</v>
      </c>
      <c r="H30" s="16">
        <v>0.76992497999999998</v>
      </c>
      <c r="I30" s="14">
        <v>27.74947937</v>
      </c>
      <c r="J30" s="16">
        <v>2.1137458200000001</v>
      </c>
      <c r="K30" s="14">
        <v>23.031318779999999</v>
      </c>
      <c r="L30" s="16">
        <v>2.2949383299999999</v>
      </c>
      <c r="M30" s="14" t="s">
        <v>139</v>
      </c>
      <c r="N30" s="16" t="s">
        <v>139</v>
      </c>
      <c r="O30" s="14">
        <v>0</v>
      </c>
      <c r="P30" s="16">
        <v>0</v>
      </c>
      <c r="Q30" s="14">
        <v>0</v>
      </c>
      <c r="R30" s="16">
        <v>0</v>
      </c>
      <c r="S30" s="14">
        <v>0</v>
      </c>
      <c r="T30" s="16">
        <v>0</v>
      </c>
      <c r="U30" s="14">
        <v>0</v>
      </c>
      <c r="V30" s="16">
        <v>0</v>
      </c>
    </row>
    <row r="31" spans="1:22" x14ac:dyDescent="0.25">
      <c r="A31" s="11" t="s">
        <v>164</v>
      </c>
      <c r="B31" s="13">
        <v>2750</v>
      </c>
      <c r="C31" s="14">
        <f>(2312/B31*100)</f>
        <v>84.072727272727278</v>
      </c>
      <c r="D31" s="15">
        <v>438</v>
      </c>
      <c r="E31" s="14">
        <v>54.632361379999999</v>
      </c>
      <c r="F31" s="16">
        <v>2.3514061900000001</v>
      </c>
      <c r="G31" s="14">
        <v>4.4136957399999996</v>
      </c>
      <c r="H31" s="16">
        <v>0.96529445999999997</v>
      </c>
      <c r="I31" s="14">
        <v>27.019298679999999</v>
      </c>
      <c r="J31" s="16">
        <v>2.3371406399999999</v>
      </c>
      <c r="K31" s="14">
        <v>13.934644199999999</v>
      </c>
      <c r="L31" s="16">
        <v>1.7980406900000001</v>
      </c>
      <c r="M31" s="14" t="s">
        <v>139</v>
      </c>
      <c r="N31" s="16" t="s">
        <v>139</v>
      </c>
      <c r="O31" s="14">
        <v>0</v>
      </c>
      <c r="P31" s="16">
        <v>0</v>
      </c>
      <c r="Q31" s="14">
        <v>0</v>
      </c>
      <c r="R31" s="16">
        <v>0</v>
      </c>
      <c r="S31" s="14">
        <v>0</v>
      </c>
      <c r="T31" s="16">
        <v>0</v>
      </c>
      <c r="U31" s="14">
        <v>0</v>
      </c>
      <c r="V31" s="16">
        <v>0</v>
      </c>
    </row>
    <row r="32" spans="1:22"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c r="U32" s="17" t="s">
        <v>154</v>
      </c>
      <c r="V32" s="18" t="s">
        <v>154</v>
      </c>
    </row>
    <row r="33" spans="1:22" x14ac:dyDescent="0.25">
      <c r="A33" s="11" t="s">
        <v>166</v>
      </c>
      <c r="B33" s="13">
        <v>3674</v>
      </c>
      <c r="C33" s="14">
        <f>(3086/B33*100)</f>
        <v>83.995645073489385</v>
      </c>
      <c r="D33" s="15">
        <v>588</v>
      </c>
      <c r="E33" s="14">
        <v>55.875262489999997</v>
      </c>
      <c r="F33" s="16">
        <v>2.3068303800000001</v>
      </c>
      <c r="G33" s="14">
        <v>0.93586292000000004</v>
      </c>
      <c r="H33" s="16">
        <v>0.43027114</v>
      </c>
      <c r="I33" s="14">
        <v>21.025266970000001</v>
      </c>
      <c r="J33" s="16">
        <v>2.0814290099999999</v>
      </c>
      <c r="K33" s="14">
        <v>22.163607620000001</v>
      </c>
      <c r="L33" s="16">
        <v>1.9012674700000001</v>
      </c>
      <c r="M33" s="14" t="s">
        <v>139</v>
      </c>
      <c r="N33" s="16" t="s">
        <v>139</v>
      </c>
      <c r="O33" s="14">
        <v>0</v>
      </c>
      <c r="P33" s="16">
        <v>0</v>
      </c>
      <c r="Q33" s="14">
        <v>0</v>
      </c>
      <c r="R33" s="16">
        <v>0</v>
      </c>
      <c r="S33" s="14">
        <v>0</v>
      </c>
      <c r="T33" s="16">
        <v>0</v>
      </c>
      <c r="U33" s="14">
        <v>0</v>
      </c>
      <c r="V33" s="16">
        <v>0</v>
      </c>
    </row>
    <row r="34" spans="1:22" x14ac:dyDescent="0.25">
      <c r="A34" s="11" t="s">
        <v>167</v>
      </c>
      <c r="B34" s="13">
        <v>3315</v>
      </c>
      <c r="C34" s="14">
        <f>(2803/B34*100)</f>
        <v>84.555052790346906</v>
      </c>
      <c r="D34" s="15">
        <v>512</v>
      </c>
      <c r="E34" s="14">
        <v>66.883826020000001</v>
      </c>
      <c r="F34" s="16">
        <v>2.0650861300000001</v>
      </c>
      <c r="G34" s="14">
        <v>7.6927307799999998</v>
      </c>
      <c r="H34" s="16">
        <v>1.1927359200000001</v>
      </c>
      <c r="I34" s="14">
        <v>15.536625470000001</v>
      </c>
      <c r="J34" s="16">
        <v>1.79836866</v>
      </c>
      <c r="K34" s="14">
        <v>9.8868177199999998</v>
      </c>
      <c r="L34" s="16">
        <v>1.25905969</v>
      </c>
      <c r="M34" s="14" t="s">
        <v>139</v>
      </c>
      <c r="N34" s="16" t="s">
        <v>139</v>
      </c>
      <c r="O34" s="14">
        <v>0</v>
      </c>
      <c r="P34" s="16">
        <v>0</v>
      </c>
      <c r="Q34" s="14">
        <v>0</v>
      </c>
      <c r="R34" s="16">
        <v>0</v>
      </c>
      <c r="S34" s="14">
        <v>0</v>
      </c>
      <c r="T34" s="16">
        <v>0</v>
      </c>
      <c r="U34" s="14">
        <v>0</v>
      </c>
      <c r="V34" s="16">
        <v>0</v>
      </c>
    </row>
    <row r="35" spans="1:22" x14ac:dyDescent="0.25">
      <c r="A35" s="11" t="s">
        <v>168</v>
      </c>
      <c r="B35" s="13">
        <v>3505</v>
      </c>
      <c r="C35" s="14">
        <f>(2938/B35*100)</f>
        <v>83.823109843081312</v>
      </c>
      <c r="D35" s="15">
        <v>567</v>
      </c>
      <c r="E35" s="14">
        <v>65.898606290000004</v>
      </c>
      <c r="F35" s="16">
        <v>2.6306932299999999</v>
      </c>
      <c r="G35" s="14">
        <v>2.5293181100000002</v>
      </c>
      <c r="H35" s="16">
        <v>0.91996628000000003</v>
      </c>
      <c r="I35" s="14">
        <v>17.59395924</v>
      </c>
      <c r="J35" s="16">
        <v>1.87930029</v>
      </c>
      <c r="K35" s="14">
        <v>13.97811636</v>
      </c>
      <c r="L35" s="16">
        <v>1.6713460600000001</v>
      </c>
      <c r="M35" s="14" t="s">
        <v>139</v>
      </c>
      <c r="N35" s="16" t="s">
        <v>139</v>
      </c>
      <c r="O35" s="14">
        <v>0</v>
      </c>
      <c r="P35" s="16">
        <v>0</v>
      </c>
      <c r="Q35" s="14">
        <v>0</v>
      </c>
      <c r="R35" s="16">
        <v>0</v>
      </c>
      <c r="S35" s="14">
        <v>0</v>
      </c>
      <c r="T35" s="16">
        <v>0</v>
      </c>
      <c r="U35" s="14">
        <v>0</v>
      </c>
      <c r="V35" s="16">
        <v>0</v>
      </c>
    </row>
    <row r="36" spans="1:22" x14ac:dyDescent="0.25">
      <c r="A36" s="11" t="s">
        <v>169</v>
      </c>
      <c r="B36" s="13">
        <v>3332</v>
      </c>
      <c r="C36" s="14">
        <f>(2788/B36*100)</f>
        <v>83.673469387755105</v>
      </c>
      <c r="D36" s="15">
        <v>544</v>
      </c>
      <c r="E36" s="14">
        <v>62.047912830000001</v>
      </c>
      <c r="F36" s="16">
        <v>1.84477088</v>
      </c>
      <c r="G36" s="14">
        <v>2.2963086000000001</v>
      </c>
      <c r="H36" s="16">
        <v>0.67846662999999996</v>
      </c>
      <c r="I36" s="14">
        <v>21.595723670000002</v>
      </c>
      <c r="J36" s="16">
        <v>1.6849941399999999</v>
      </c>
      <c r="K36" s="14">
        <v>14.06005491</v>
      </c>
      <c r="L36" s="16">
        <v>1.2310458500000001</v>
      </c>
      <c r="M36" s="14" t="s">
        <v>139</v>
      </c>
      <c r="N36" s="16" t="s">
        <v>139</v>
      </c>
      <c r="O36" s="14">
        <v>0</v>
      </c>
      <c r="P36" s="16">
        <v>0</v>
      </c>
      <c r="Q36" s="14">
        <v>0</v>
      </c>
      <c r="R36" s="16">
        <v>0</v>
      </c>
      <c r="S36" s="14">
        <v>0</v>
      </c>
      <c r="T36" s="16">
        <v>0</v>
      </c>
      <c r="U36" s="14">
        <v>0</v>
      </c>
      <c r="V36" s="16">
        <v>0</v>
      </c>
    </row>
    <row r="37" spans="1:22" x14ac:dyDescent="0.25">
      <c r="A37" s="11" t="s">
        <v>170</v>
      </c>
      <c r="B37" s="13">
        <v>2727</v>
      </c>
      <c r="C37" s="14">
        <f>(2309/B37*100)</f>
        <v>84.671800513384682</v>
      </c>
      <c r="D37" s="15">
        <v>418</v>
      </c>
      <c r="E37" s="14">
        <v>57.181618749999998</v>
      </c>
      <c r="F37" s="16">
        <v>2.3513490400000001</v>
      </c>
      <c r="G37" s="14">
        <v>1.3242777699999999</v>
      </c>
      <c r="H37" s="16">
        <v>0.54105747000000004</v>
      </c>
      <c r="I37" s="14">
        <v>24.91356081</v>
      </c>
      <c r="J37" s="16">
        <v>2.3709194199999999</v>
      </c>
      <c r="K37" s="14">
        <v>16.58054267</v>
      </c>
      <c r="L37" s="16">
        <v>2.24742022</v>
      </c>
      <c r="M37" s="14" t="s">
        <v>139</v>
      </c>
      <c r="N37" s="16" t="s">
        <v>139</v>
      </c>
      <c r="O37" s="14">
        <v>0</v>
      </c>
      <c r="P37" s="16">
        <v>0</v>
      </c>
      <c r="Q37" s="14">
        <v>0</v>
      </c>
      <c r="R37" s="16">
        <v>0</v>
      </c>
      <c r="S37" s="14">
        <v>0</v>
      </c>
      <c r="T37" s="16">
        <v>0</v>
      </c>
      <c r="U37" s="14">
        <v>0</v>
      </c>
      <c r="V37" s="16">
        <v>0</v>
      </c>
    </row>
    <row r="38" spans="1:22"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c r="U38" s="17" t="s">
        <v>154</v>
      </c>
      <c r="V38" s="18" t="s">
        <v>154</v>
      </c>
    </row>
    <row r="39" spans="1:22" x14ac:dyDescent="0.25">
      <c r="A39" s="11" t="s">
        <v>172</v>
      </c>
      <c r="B39" s="13">
        <v>2957</v>
      </c>
      <c r="C39" s="14">
        <f>(2449/B39*100)</f>
        <v>82.820426107541422</v>
      </c>
      <c r="D39" s="15">
        <v>508</v>
      </c>
      <c r="E39" s="14">
        <v>77.115809069999997</v>
      </c>
      <c r="F39" s="16">
        <v>2.7490416999999998</v>
      </c>
      <c r="G39" s="14">
        <v>3.7116195699999999</v>
      </c>
      <c r="H39" s="16">
        <v>1.0239895299999999</v>
      </c>
      <c r="I39" s="14">
        <v>13.75883578</v>
      </c>
      <c r="J39" s="16">
        <v>2.12349422</v>
      </c>
      <c r="K39" s="14">
        <v>5.4137355899999999</v>
      </c>
      <c r="L39" s="16">
        <v>1.11515914</v>
      </c>
      <c r="M39" s="14" t="s">
        <v>139</v>
      </c>
      <c r="N39" s="16" t="s">
        <v>139</v>
      </c>
      <c r="O39" s="14">
        <v>0</v>
      </c>
      <c r="P39" s="16">
        <v>0</v>
      </c>
      <c r="Q39" s="14">
        <v>0</v>
      </c>
      <c r="R39" s="16">
        <v>0</v>
      </c>
      <c r="S39" s="14">
        <v>0</v>
      </c>
      <c r="T39" s="16">
        <v>0</v>
      </c>
      <c r="U39" s="14">
        <v>0</v>
      </c>
      <c r="V39" s="16">
        <v>0</v>
      </c>
    </row>
    <row r="40" spans="1:22" x14ac:dyDescent="0.25">
      <c r="A40" s="11" t="s">
        <v>173</v>
      </c>
      <c r="B40" s="13">
        <v>7235</v>
      </c>
      <c r="C40" s="14">
        <f>(6028/B40*100)</f>
        <v>83.317208016586036</v>
      </c>
      <c r="D40" s="15">
        <v>1207</v>
      </c>
      <c r="E40" s="14">
        <v>50.740089259999998</v>
      </c>
      <c r="F40" s="16">
        <v>2.3960329699999998</v>
      </c>
      <c r="G40" s="14">
        <v>2.4929474300000001</v>
      </c>
      <c r="H40" s="16">
        <v>0.75099017999999995</v>
      </c>
      <c r="I40" s="14">
        <v>25.737977260000001</v>
      </c>
      <c r="J40" s="16">
        <v>2.21664051</v>
      </c>
      <c r="K40" s="14">
        <v>21.028986060000001</v>
      </c>
      <c r="L40" s="16">
        <v>1.7588972</v>
      </c>
      <c r="M40" s="14" t="s">
        <v>139</v>
      </c>
      <c r="N40" s="16" t="s">
        <v>139</v>
      </c>
      <c r="O40" s="14">
        <v>0</v>
      </c>
      <c r="P40" s="16">
        <v>0</v>
      </c>
      <c r="Q40" s="14">
        <v>0</v>
      </c>
      <c r="R40" s="16">
        <v>0</v>
      </c>
      <c r="S40" s="14">
        <v>0</v>
      </c>
      <c r="T40" s="16">
        <v>0</v>
      </c>
      <c r="U40" s="14">
        <v>0</v>
      </c>
      <c r="V40" s="16">
        <v>0</v>
      </c>
    </row>
    <row r="41" spans="1:22" x14ac:dyDescent="0.25">
      <c r="A41" s="11" t="s">
        <v>174</v>
      </c>
      <c r="B41" s="13">
        <v>2858</v>
      </c>
      <c r="C41" s="14">
        <f>(2399/B41*100)</f>
        <v>83.939818054583625</v>
      </c>
      <c r="D41" s="15">
        <v>459</v>
      </c>
      <c r="E41" s="14">
        <v>45.276882380000004</v>
      </c>
      <c r="F41" s="16">
        <v>2.6730410899999999</v>
      </c>
      <c r="G41" s="14">
        <v>3.5897754399999999</v>
      </c>
      <c r="H41" s="16">
        <v>0.91751342999999996</v>
      </c>
      <c r="I41" s="14">
        <v>29.84871265</v>
      </c>
      <c r="J41" s="16">
        <v>2.1458020599999998</v>
      </c>
      <c r="K41" s="14">
        <v>21.28462953</v>
      </c>
      <c r="L41" s="16">
        <v>2.17922159</v>
      </c>
      <c r="M41" s="14" t="s">
        <v>139</v>
      </c>
      <c r="N41" s="16" t="s">
        <v>139</v>
      </c>
      <c r="O41" s="14">
        <v>0</v>
      </c>
      <c r="P41" s="16">
        <v>0</v>
      </c>
      <c r="Q41" s="14">
        <v>0</v>
      </c>
      <c r="R41" s="16">
        <v>0</v>
      </c>
      <c r="S41" s="14">
        <v>0</v>
      </c>
      <c r="T41" s="16">
        <v>0</v>
      </c>
      <c r="U41" s="14">
        <v>0</v>
      </c>
      <c r="V41" s="16">
        <v>0</v>
      </c>
    </row>
    <row r="42" spans="1:22" x14ac:dyDescent="0.25">
      <c r="A42" s="11" t="s">
        <v>175</v>
      </c>
      <c r="B42" s="13">
        <f>IF(COUNT(B7:B41) &gt; 0, AVERAGE(B7:B41), "\u2014")</f>
        <v>3654.375</v>
      </c>
      <c r="C42" s="14">
        <f>IF(COUNT(C7:C41) &gt; 0, AVERAGE(C7:C41), "—")</f>
        <v>83.857789826805245</v>
      </c>
      <c r="D42" s="15">
        <f>IF(COUNT(D7:D41) &gt; 0, AVERAGE(D7:D41), "—")</f>
        <v>590.9375</v>
      </c>
      <c r="E42" s="14">
        <f>IF(COUNT(E7:E41) &gt; 0, AVERAGE(E7:E41), "—")</f>
        <v>57.77547980812502</v>
      </c>
      <c r="F42" s="16">
        <f>IF(COUNT(F7:F41) &gt; 0, SQRT(SUMSQ(F7:F41)/(COUNT(F7:F41)*COUNT(F7:F41)) ), "—")</f>
        <v>0.41540953696167315</v>
      </c>
      <c r="G42" s="14">
        <f>IF(COUNT(G7:G41) &gt; 0, AVERAGE(G7:G41), "—")</f>
        <v>3.0747254968750002</v>
      </c>
      <c r="H42" s="16">
        <f>IF(COUNT(H7:H41) &gt; 0, SQRT(SUMSQ(H7:H41)/(COUNT(H7:H41)*COUNT(H7:H41)) ), "—")</f>
        <v>0.148894131381237</v>
      </c>
      <c r="I42" s="14">
        <f>IF(COUNT(I7:I41) &gt; 0, AVERAGE(I7:I41), "—")</f>
        <v>22.911629001562503</v>
      </c>
      <c r="J42" s="16">
        <f>IF(COUNT(J7:J41) &gt; 0, SQRT(SUMSQ(J7:J41)/(COUNT(J7:J41)*COUNT(J7:J41)) ), "—")</f>
        <v>0.35601820289695396</v>
      </c>
      <c r="K42" s="14">
        <f>IF(COUNT(K7:K41) &gt; 0, AVERAGE(K7:K41), "—")</f>
        <v>16.238165692499997</v>
      </c>
      <c r="L42" s="16">
        <f>IF(COUNT(L7:L41) &gt; 0, SQRT(SUMSQ(L7:L41)/(COUNT(L7:L41)*COUNT(L7:L41)) ), "—")</f>
        <v>0.30592620651758046</v>
      </c>
      <c r="M42" s="14" t="str">
        <f>IF(COUNT(M7:M41) &gt; 0, AVERAGE(M7:M41), "—")</f>
        <v>—</v>
      </c>
      <c r="N42" s="16" t="str">
        <f>IF(COUNT(N7:N41) &gt; 0, SQRT(SUMSQ(N7:N41)/(COUNT(N7:N41)*COUNT(N7:N41)) ), "—")</f>
        <v>—</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c r="U42" s="14">
        <f>IF(COUNT(U7:U41) &gt; 0, AVERAGE(U7:U41), "—")</f>
        <v>0</v>
      </c>
      <c r="V42" s="16">
        <f>IF(COUNT(V7:V41) &gt; 0, SQRT(SUMSQ(V7:V41)/(COUNT(V7:V41)*COUNT(V7:V41)) ), "—")</f>
        <v>0</v>
      </c>
    </row>
    <row r="43" spans="1:22" x14ac:dyDescent="0.25">
      <c r="A43" s="9" t="s">
        <v>176</v>
      </c>
      <c r="B43" s="10"/>
      <c r="C43" s="10"/>
      <c r="D43" s="11"/>
      <c r="E43" s="10"/>
      <c r="F43" s="11"/>
      <c r="G43" s="10"/>
      <c r="H43" s="11"/>
      <c r="I43" s="10"/>
      <c r="J43" s="11"/>
      <c r="K43" s="10"/>
      <c r="L43" s="11"/>
      <c r="M43" s="10"/>
      <c r="N43" s="11"/>
      <c r="O43" s="10"/>
      <c r="P43" s="11"/>
      <c r="Q43" s="10"/>
      <c r="R43" s="11"/>
      <c r="S43" s="10"/>
      <c r="T43" s="11"/>
      <c r="U43" s="10"/>
      <c r="V43" s="12"/>
    </row>
    <row r="44" spans="1:22"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c r="U44" s="17" t="s">
        <v>154</v>
      </c>
      <c r="V44" s="18" t="s">
        <v>154</v>
      </c>
    </row>
    <row r="45" spans="1:22"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c r="U45" s="17" t="s">
        <v>154</v>
      </c>
      <c r="V45" s="18" t="s">
        <v>154</v>
      </c>
    </row>
    <row r="46" spans="1:22" x14ac:dyDescent="0.25">
      <c r="A46" s="11" t="s">
        <v>179</v>
      </c>
      <c r="B46" s="13">
        <v>11068</v>
      </c>
      <c r="C46" s="14">
        <f>(9799/B46*100)</f>
        <v>88.534513913986274</v>
      </c>
      <c r="D46" s="15">
        <v>1269</v>
      </c>
      <c r="E46" s="14">
        <v>78.086351390000004</v>
      </c>
      <c r="F46" s="16">
        <v>1.7047941200000001</v>
      </c>
      <c r="G46" s="14">
        <v>2.9840807100000002</v>
      </c>
      <c r="H46" s="16">
        <v>0.62670176</v>
      </c>
      <c r="I46" s="14">
        <v>13.491232159999999</v>
      </c>
      <c r="J46" s="16">
        <v>1.370058</v>
      </c>
      <c r="K46" s="14">
        <v>5.4383357400000003</v>
      </c>
      <c r="L46" s="16">
        <v>0.76614388</v>
      </c>
      <c r="M46" s="14" t="s">
        <v>139</v>
      </c>
      <c r="N46" s="16" t="s">
        <v>139</v>
      </c>
      <c r="O46" s="14">
        <v>0</v>
      </c>
      <c r="P46" s="16">
        <v>0</v>
      </c>
      <c r="Q46" s="14">
        <v>0</v>
      </c>
      <c r="R46" s="16">
        <v>0</v>
      </c>
      <c r="S46" s="14">
        <v>0</v>
      </c>
      <c r="T46" s="16">
        <v>0</v>
      </c>
      <c r="U46" s="14">
        <v>0</v>
      </c>
      <c r="V46" s="16">
        <v>0</v>
      </c>
    </row>
    <row r="47" spans="1:22" x14ac:dyDescent="0.25">
      <c r="A47" s="11" t="s">
        <v>180</v>
      </c>
      <c r="B47" s="13">
        <v>3105</v>
      </c>
      <c r="C47" s="14">
        <f>(2632/B47*100)</f>
        <v>84.76650563607086</v>
      </c>
      <c r="D47" s="15">
        <v>473</v>
      </c>
      <c r="E47" s="14">
        <v>71.468645039999998</v>
      </c>
      <c r="F47" s="16">
        <v>2.2250786499999999</v>
      </c>
      <c r="G47" s="14">
        <v>2.82033939</v>
      </c>
      <c r="H47" s="16">
        <v>0.72837845000000001</v>
      </c>
      <c r="I47" s="14">
        <v>16.58995767</v>
      </c>
      <c r="J47" s="16">
        <v>1.6968719699999999</v>
      </c>
      <c r="K47" s="14">
        <v>9.1210579099999993</v>
      </c>
      <c r="L47" s="16">
        <v>1.4695552300000001</v>
      </c>
      <c r="M47" s="14" t="s">
        <v>139</v>
      </c>
      <c r="N47" s="16" t="s">
        <v>139</v>
      </c>
      <c r="O47" s="14">
        <v>0</v>
      </c>
      <c r="P47" s="16">
        <v>0</v>
      </c>
      <c r="Q47" s="14">
        <v>0</v>
      </c>
      <c r="R47" s="16">
        <v>0</v>
      </c>
      <c r="S47" s="14">
        <v>0</v>
      </c>
      <c r="T47" s="16">
        <v>0</v>
      </c>
      <c r="U47" s="14">
        <v>0</v>
      </c>
      <c r="V47" s="16">
        <v>0</v>
      </c>
    </row>
    <row r="48" spans="1:22" x14ac:dyDescent="0.25">
      <c r="A48" s="11" t="s">
        <v>181</v>
      </c>
      <c r="B48" s="13">
        <v>5159</v>
      </c>
      <c r="C48" s="14">
        <f>(4298/B48*100)</f>
        <v>83.310719131614647</v>
      </c>
      <c r="D48" s="15">
        <v>861</v>
      </c>
      <c r="E48" s="14">
        <v>55.716479720000002</v>
      </c>
      <c r="F48" s="16">
        <v>2.1392802799999999</v>
      </c>
      <c r="G48" s="14">
        <v>2.54145098</v>
      </c>
      <c r="H48" s="16">
        <v>0.61255767000000005</v>
      </c>
      <c r="I48" s="14">
        <v>16.18820676</v>
      </c>
      <c r="J48" s="16">
        <v>1.4880692099999999</v>
      </c>
      <c r="K48" s="14">
        <v>25.553862540000001</v>
      </c>
      <c r="L48" s="16">
        <v>1.76595071</v>
      </c>
      <c r="M48" s="14" t="s">
        <v>139</v>
      </c>
      <c r="N48" s="16" t="s">
        <v>139</v>
      </c>
      <c r="O48" s="14">
        <v>0</v>
      </c>
      <c r="P48" s="16">
        <v>0</v>
      </c>
      <c r="Q48" s="14">
        <v>0</v>
      </c>
      <c r="R48" s="16">
        <v>0</v>
      </c>
      <c r="S48" s="14">
        <v>0</v>
      </c>
      <c r="T48" s="16">
        <v>0</v>
      </c>
      <c r="U48" s="14">
        <v>0</v>
      </c>
      <c r="V48" s="16">
        <v>0</v>
      </c>
    </row>
    <row r="49" spans="1:22"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c r="U49" s="17" t="s">
        <v>154</v>
      </c>
      <c r="V49" s="18" t="s">
        <v>154</v>
      </c>
    </row>
    <row r="50" spans="1:22" x14ac:dyDescent="0.25">
      <c r="A50" s="11" t="s">
        <v>183</v>
      </c>
      <c r="B50" s="13">
        <v>5637</v>
      </c>
      <c r="C50" s="14">
        <f>(4744/B50*100)</f>
        <v>84.158240198687238</v>
      </c>
      <c r="D50" s="15">
        <v>893</v>
      </c>
      <c r="E50" s="14">
        <v>68.415540969999995</v>
      </c>
      <c r="F50" s="16">
        <v>2.10986933</v>
      </c>
      <c r="G50" s="14">
        <v>4.54522856</v>
      </c>
      <c r="H50" s="16">
        <v>0.94193561999999997</v>
      </c>
      <c r="I50" s="14">
        <v>17.109732900000001</v>
      </c>
      <c r="J50" s="16">
        <v>1.7717934099999999</v>
      </c>
      <c r="K50" s="14">
        <v>9.9294975700000006</v>
      </c>
      <c r="L50" s="16">
        <v>1.22279461</v>
      </c>
      <c r="M50" s="14" t="s">
        <v>139</v>
      </c>
      <c r="N50" s="16" t="s">
        <v>139</v>
      </c>
      <c r="O50" s="14">
        <v>0</v>
      </c>
      <c r="P50" s="16">
        <v>0</v>
      </c>
      <c r="Q50" s="14">
        <v>0</v>
      </c>
      <c r="R50" s="16">
        <v>0</v>
      </c>
      <c r="S50" s="14">
        <v>0</v>
      </c>
      <c r="T50" s="16">
        <v>0</v>
      </c>
      <c r="U50" s="14">
        <v>0</v>
      </c>
      <c r="V50" s="16">
        <v>0</v>
      </c>
    </row>
    <row r="51" spans="1:22" x14ac:dyDescent="0.25">
      <c r="A51" s="11" t="s">
        <v>184</v>
      </c>
      <c r="B51" s="13">
        <v>3372</v>
      </c>
      <c r="C51" s="14">
        <f>(2890/B51*100)</f>
        <v>85.705812574139969</v>
      </c>
      <c r="D51" s="15">
        <v>482</v>
      </c>
      <c r="E51" s="14">
        <v>73.994020259999999</v>
      </c>
      <c r="F51" s="16">
        <v>2.2726518900000001</v>
      </c>
      <c r="G51" s="14">
        <v>2.11851345</v>
      </c>
      <c r="H51" s="16">
        <v>0.77668877999999997</v>
      </c>
      <c r="I51" s="14">
        <v>14.259029719999999</v>
      </c>
      <c r="J51" s="16">
        <v>1.8338751600000001</v>
      </c>
      <c r="K51" s="14">
        <v>9.6284365699999999</v>
      </c>
      <c r="L51" s="16">
        <v>1.38027553</v>
      </c>
      <c r="M51" s="14" t="s">
        <v>139</v>
      </c>
      <c r="N51" s="16" t="s">
        <v>139</v>
      </c>
      <c r="O51" s="14">
        <v>0</v>
      </c>
      <c r="P51" s="16">
        <v>0</v>
      </c>
      <c r="Q51" s="14">
        <v>0</v>
      </c>
      <c r="R51" s="16">
        <v>0</v>
      </c>
      <c r="S51" s="14">
        <v>0</v>
      </c>
      <c r="T51" s="16">
        <v>0</v>
      </c>
      <c r="U51" s="14">
        <v>0</v>
      </c>
      <c r="V51" s="16">
        <v>0</v>
      </c>
    </row>
    <row r="52" spans="1:22" x14ac:dyDescent="0.25">
      <c r="A52" s="11" t="s">
        <v>185</v>
      </c>
      <c r="B52" s="13">
        <v>2796</v>
      </c>
      <c r="C52" s="14">
        <f>(2357/B52*100)</f>
        <v>84.298998569384835</v>
      </c>
      <c r="D52" s="15">
        <v>439</v>
      </c>
      <c r="E52" s="14">
        <v>71.411259110000003</v>
      </c>
      <c r="F52" s="16">
        <v>2.1596981099999999</v>
      </c>
      <c r="G52" s="14">
        <v>2.4945038199999998</v>
      </c>
      <c r="H52" s="16">
        <v>0.77763970999999998</v>
      </c>
      <c r="I52" s="14">
        <v>18.219387000000001</v>
      </c>
      <c r="J52" s="16">
        <v>1.6986964899999999</v>
      </c>
      <c r="K52" s="14">
        <v>7.8748500699999999</v>
      </c>
      <c r="L52" s="16">
        <v>1.32341664</v>
      </c>
      <c r="M52" s="14" t="s">
        <v>139</v>
      </c>
      <c r="N52" s="16" t="s">
        <v>139</v>
      </c>
      <c r="O52" s="14">
        <v>0</v>
      </c>
      <c r="P52" s="16">
        <v>0</v>
      </c>
      <c r="Q52" s="14">
        <v>0</v>
      </c>
      <c r="R52" s="16">
        <v>0</v>
      </c>
      <c r="S52" s="14">
        <v>0</v>
      </c>
      <c r="T52" s="16">
        <v>0</v>
      </c>
      <c r="U52" s="14">
        <v>0</v>
      </c>
      <c r="V52" s="16">
        <v>0</v>
      </c>
    </row>
    <row r="53" spans="1:22" x14ac:dyDescent="0.25">
      <c r="A53" s="11" t="s">
        <v>186</v>
      </c>
      <c r="B53" s="13">
        <v>2811</v>
      </c>
      <c r="C53" s="14">
        <f>(2360/B53*100)</f>
        <v>83.955887584489503</v>
      </c>
      <c r="D53" s="15">
        <v>451</v>
      </c>
      <c r="E53" s="14">
        <v>66.335696069999997</v>
      </c>
      <c r="F53" s="16">
        <v>2.4260356199999999</v>
      </c>
      <c r="G53" s="14">
        <v>5.2370077300000002</v>
      </c>
      <c r="H53" s="16">
        <v>0.96169556</v>
      </c>
      <c r="I53" s="14">
        <v>19.051810469999999</v>
      </c>
      <c r="J53" s="16">
        <v>2.2084438500000001</v>
      </c>
      <c r="K53" s="14">
        <v>9.3754857299999994</v>
      </c>
      <c r="L53" s="16">
        <v>1.5396063600000001</v>
      </c>
      <c r="M53" s="14" t="s">
        <v>139</v>
      </c>
      <c r="N53" s="16" t="s">
        <v>139</v>
      </c>
      <c r="O53" s="14">
        <v>0</v>
      </c>
      <c r="P53" s="16">
        <v>0</v>
      </c>
      <c r="Q53" s="14">
        <v>0</v>
      </c>
      <c r="R53" s="16">
        <v>0</v>
      </c>
      <c r="S53" s="14">
        <v>0</v>
      </c>
      <c r="T53" s="16">
        <v>0</v>
      </c>
      <c r="U53" s="14">
        <v>0</v>
      </c>
      <c r="V53" s="16">
        <v>0</v>
      </c>
    </row>
    <row r="54" spans="1:22"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c r="U54" s="17" t="s">
        <v>154</v>
      </c>
      <c r="V54" s="18" t="s">
        <v>154</v>
      </c>
    </row>
    <row r="55" spans="1:22"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c r="U55" s="17" t="s">
        <v>154</v>
      </c>
      <c r="V55" s="18" t="s">
        <v>154</v>
      </c>
    </row>
    <row r="56" spans="1:22" x14ac:dyDescent="0.25">
      <c r="A56" s="11" t="s">
        <v>189</v>
      </c>
      <c r="B56" s="13">
        <v>2684</v>
      </c>
      <c r="C56" s="14">
        <f>(2248/B56*100)</f>
        <v>83.75558867362146</v>
      </c>
      <c r="D56" s="15">
        <v>436</v>
      </c>
      <c r="E56" s="14">
        <v>35.243663310000002</v>
      </c>
      <c r="F56" s="16">
        <v>2.7524256199999999</v>
      </c>
      <c r="G56" s="14">
        <v>0.40479093999999999</v>
      </c>
      <c r="H56" s="16">
        <v>0.29410281999999999</v>
      </c>
      <c r="I56" s="14">
        <v>23.385089260000001</v>
      </c>
      <c r="J56" s="16">
        <v>2.2627584299999999</v>
      </c>
      <c r="K56" s="14">
        <v>40.966456489999999</v>
      </c>
      <c r="L56" s="16">
        <v>2.6482049399999998</v>
      </c>
      <c r="M56" s="14" t="s">
        <v>139</v>
      </c>
      <c r="N56" s="16" t="s">
        <v>139</v>
      </c>
      <c r="O56" s="14">
        <v>0</v>
      </c>
      <c r="P56" s="16">
        <v>0</v>
      </c>
      <c r="Q56" s="14">
        <v>0</v>
      </c>
      <c r="R56" s="16">
        <v>0</v>
      </c>
      <c r="S56" s="14">
        <v>0</v>
      </c>
      <c r="T56" s="16">
        <v>0</v>
      </c>
      <c r="U56" s="14">
        <v>0</v>
      </c>
      <c r="V56" s="16">
        <v>0</v>
      </c>
    </row>
    <row r="57" spans="1:22"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c r="U57" s="17" t="s">
        <v>154</v>
      </c>
      <c r="V57" s="18" t="s">
        <v>154</v>
      </c>
    </row>
    <row r="58" spans="1:22"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c r="U58" s="17" t="s">
        <v>154</v>
      </c>
      <c r="V58" s="18" t="s">
        <v>154</v>
      </c>
    </row>
    <row r="59" spans="1:22"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c r="U59" s="17" t="s">
        <v>154</v>
      </c>
      <c r="V59" s="18" t="s">
        <v>154</v>
      </c>
    </row>
    <row r="60" spans="1:22"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c r="U60" s="17" t="s">
        <v>154</v>
      </c>
      <c r="V60" s="18" t="s">
        <v>154</v>
      </c>
    </row>
    <row r="61" spans="1:22" x14ac:dyDescent="0.25">
      <c r="A61" s="11" t="s">
        <v>194</v>
      </c>
      <c r="B61" s="13">
        <v>3324</v>
      </c>
      <c r="C61" s="14">
        <f>(2800/B61*100)</f>
        <v>84.235860409145616</v>
      </c>
      <c r="D61" s="15">
        <v>524</v>
      </c>
      <c r="E61" s="14">
        <v>68.667010379999994</v>
      </c>
      <c r="F61" s="16">
        <v>2.0957739599999998</v>
      </c>
      <c r="G61" s="14">
        <v>1.7541825900000001</v>
      </c>
      <c r="H61" s="16">
        <v>0.56076948000000004</v>
      </c>
      <c r="I61" s="14">
        <v>17.621770009999999</v>
      </c>
      <c r="J61" s="16">
        <v>1.79655769</v>
      </c>
      <c r="K61" s="14">
        <v>11.95703702</v>
      </c>
      <c r="L61" s="16">
        <v>1.4917372600000001</v>
      </c>
      <c r="M61" s="14" t="s">
        <v>139</v>
      </c>
      <c r="N61" s="16" t="s">
        <v>139</v>
      </c>
      <c r="O61" s="14">
        <v>0</v>
      </c>
      <c r="P61" s="16">
        <v>0</v>
      </c>
      <c r="Q61" s="14">
        <v>0</v>
      </c>
      <c r="R61" s="16">
        <v>0</v>
      </c>
      <c r="S61" s="14">
        <v>0</v>
      </c>
      <c r="T61" s="16">
        <v>0</v>
      </c>
      <c r="U61" s="14">
        <v>0</v>
      </c>
      <c r="V61" s="16">
        <v>0</v>
      </c>
    </row>
    <row r="62" spans="1:22" x14ac:dyDescent="0.25">
      <c r="A62" s="11" t="s">
        <v>195</v>
      </c>
      <c r="B62" s="13">
        <v>2246</v>
      </c>
      <c r="C62" s="14">
        <f>(1857/B62*100)</f>
        <v>82.680320569902051</v>
      </c>
      <c r="D62" s="15">
        <v>389</v>
      </c>
      <c r="E62" s="14">
        <v>31.92859915</v>
      </c>
      <c r="F62" s="16">
        <v>2.4750451299999998</v>
      </c>
      <c r="G62" s="14">
        <v>1.7910864200000001</v>
      </c>
      <c r="H62" s="16">
        <v>0.67123882999999995</v>
      </c>
      <c r="I62" s="14">
        <v>19.564593680000002</v>
      </c>
      <c r="J62" s="16">
        <v>1.99877433</v>
      </c>
      <c r="K62" s="14">
        <v>46.715720750000003</v>
      </c>
      <c r="L62" s="16">
        <v>2.8071598799999999</v>
      </c>
      <c r="M62" s="14" t="s">
        <v>139</v>
      </c>
      <c r="N62" s="16" t="s">
        <v>139</v>
      </c>
      <c r="O62" s="14">
        <v>0</v>
      </c>
      <c r="P62" s="16">
        <v>0</v>
      </c>
      <c r="Q62" s="14">
        <v>0</v>
      </c>
      <c r="R62" s="16">
        <v>0</v>
      </c>
      <c r="S62" s="14">
        <v>0</v>
      </c>
      <c r="T62" s="16">
        <v>0</v>
      </c>
      <c r="U62" s="14">
        <v>0</v>
      </c>
      <c r="V62" s="16">
        <v>0</v>
      </c>
    </row>
    <row r="63" spans="1:22"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c r="U63" s="17" t="s">
        <v>154</v>
      </c>
      <c r="V63" s="18" t="s">
        <v>154</v>
      </c>
    </row>
    <row r="64" spans="1:22"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c r="U64" s="17" t="s">
        <v>154</v>
      </c>
      <c r="V64" s="18" t="s">
        <v>154</v>
      </c>
    </row>
    <row r="65" spans="1:22"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c r="U65" s="17" t="s">
        <v>154</v>
      </c>
      <c r="V65" s="18" t="s">
        <v>154</v>
      </c>
    </row>
    <row r="66" spans="1:22" x14ac:dyDescent="0.25">
      <c r="A66" s="11" t="s">
        <v>199</v>
      </c>
      <c r="B66" s="13">
        <v>2894</v>
      </c>
      <c r="C66" s="14">
        <f>(2461/B66*100)</f>
        <v>85.038009675190054</v>
      </c>
      <c r="D66" s="15">
        <v>433</v>
      </c>
      <c r="E66" s="14">
        <v>77.552818599999995</v>
      </c>
      <c r="F66" s="16">
        <v>2.02318905</v>
      </c>
      <c r="G66" s="14">
        <v>3.0634446500000001</v>
      </c>
      <c r="H66" s="16">
        <v>0.87533234999999998</v>
      </c>
      <c r="I66" s="14">
        <v>14.930396119999999</v>
      </c>
      <c r="J66" s="16">
        <v>1.71057663</v>
      </c>
      <c r="K66" s="14">
        <v>4.4533406199999996</v>
      </c>
      <c r="L66" s="16">
        <v>1.1924254599999999</v>
      </c>
      <c r="M66" s="14" t="s">
        <v>139</v>
      </c>
      <c r="N66" s="16" t="s">
        <v>139</v>
      </c>
      <c r="O66" s="14">
        <v>0</v>
      </c>
      <c r="P66" s="16">
        <v>0</v>
      </c>
      <c r="Q66" s="14">
        <v>0</v>
      </c>
      <c r="R66" s="16">
        <v>0</v>
      </c>
      <c r="S66" s="14">
        <v>0</v>
      </c>
      <c r="T66" s="16">
        <v>0</v>
      </c>
      <c r="U66" s="14">
        <v>0</v>
      </c>
      <c r="V66" s="16">
        <v>0</v>
      </c>
    </row>
    <row r="67" spans="1:22" x14ac:dyDescent="0.25">
      <c r="A67" s="11" t="s">
        <v>200</v>
      </c>
      <c r="B67" s="13">
        <v>3511</v>
      </c>
      <c r="C67" s="14">
        <f>(3020/B67*100)</f>
        <v>86.015380233551696</v>
      </c>
      <c r="D67" s="15">
        <v>491</v>
      </c>
      <c r="E67" s="14">
        <v>72.534671070000002</v>
      </c>
      <c r="F67" s="16">
        <v>2.09644428</v>
      </c>
      <c r="G67" s="14">
        <v>2.7982188300000002</v>
      </c>
      <c r="H67" s="16">
        <v>0.68000501999999996</v>
      </c>
      <c r="I67" s="14">
        <v>14.803086009999999</v>
      </c>
      <c r="J67" s="16">
        <v>1.59837703</v>
      </c>
      <c r="K67" s="14">
        <v>9.8640240899999991</v>
      </c>
      <c r="L67" s="16">
        <v>1.2957387199999999</v>
      </c>
      <c r="M67" s="14" t="s">
        <v>139</v>
      </c>
      <c r="N67" s="16" t="s">
        <v>139</v>
      </c>
      <c r="O67" s="14">
        <v>0</v>
      </c>
      <c r="P67" s="16">
        <v>0</v>
      </c>
      <c r="Q67" s="14">
        <v>0</v>
      </c>
      <c r="R67" s="16">
        <v>0</v>
      </c>
      <c r="S67" s="14">
        <v>0</v>
      </c>
      <c r="T67" s="16">
        <v>0</v>
      </c>
      <c r="U67" s="14">
        <v>0</v>
      </c>
      <c r="V67" s="16">
        <v>0</v>
      </c>
    </row>
    <row r="68" spans="1:22"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c r="U68" s="17" t="s">
        <v>154</v>
      </c>
      <c r="V68" s="18" t="s">
        <v>154</v>
      </c>
    </row>
    <row r="69" spans="1:22"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c r="U69" s="17" t="s">
        <v>154</v>
      </c>
      <c r="V69" s="18" t="s">
        <v>154</v>
      </c>
    </row>
    <row r="70" spans="1:22" x14ac:dyDescent="0.25">
      <c r="A70" s="11" t="s">
        <v>203</v>
      </c>
      <c r="B70" s="13">
        <v>2929</v>
      </c>
      <c r="C70" s="14">
        <f>(2460/B70*100)</f>
        <v>83.987709115739165</v>
      </c>
      <c r="D70" s="15">
        <v>469</v>
      </c>
      <c r="E70" s="14">
        <v>76.906994420000004</v>
      </c>
      <c r="F70" s="16">
        <v>2.7074500100000001</v>
      </c>
      <c r="G70" s="14">
        <v>2.3719118899999998</v>
      </c>
      <c r="H70" s="16">
        <v>0.76493418000000002</v>
      </c>
      <c r="I70" s="14">
        <v>10.955684379999999</v>
      </c>
      <c r="J70" s="16">
        <v>2.0908763800000001</v>
      </c>
      <c r="K70" s="14">
        <v>9.7654093199999998</v>
      </c>
      <c r="L70" s="16">
        <v>1.7799895699999999</v>
      </c>
      <c r="M70" s="14" t="s">
        <v>139</v>
      </c>
      <c r="N70" s="16" t="s">
        <v>139</v>
      </c>
      <c r="O70" s="14">
        <v>0</v>
      </c>
      <c r="P70" s="16">
        <v>0</v>
      </c>
      <c r="Q70" s="14">
        <v>0</v>
      </c>
      <c r="R70" s="16">
        <v>0</v>
      </c>
      <c r="S70" s="14">
        <v>0</v>
      </c>
      <c r="T70" s="16">
        <v>0</v>
      </c>
      <c r="U70" s="14">
        <v>0</v>
      </c>
      <c r="V70" s="16">
        <v>0</v>
      </c>
    </row>
    <row r="71" spans="1:22"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c r="U71" s="17" t="s">
        <v>154</v>
      </c>
      <c r="V71" s="18" t="s">
        <v>154</v>
      </c>
    </row>
    <row r="72" spans="1:22" x14ac:dyDescent="0.25">
      <c r="A72" s="11" t="s">
        <v>205</v>
      </c>
      <c r="B72" s="13">
        <v>3889</v>
      </c>
      <c r="C72" s="14">
        <f>(3214/B72*100)</f>
        <v>82.643353047055797</v>
      </c>
      <c r="D72" s="15">
        <v>675</v>
      </c>
      <c r="E72" s="14">
        <v>37.944169590000001</v>
      </c>
      <c r="F72" s="16">
        <v>1.9557788</v>
      </c>
      <c r="G72" s="14">
        <v>1.41432852</v>
      </c>
      <c r="H72" s="16">
        <v>0.47233180000000002</v>
      </c>
      <c r="I72" s="14">
        <v>24.4912372</v>
      </c>
      <c r="J72" s="16">
        <v>1.7255418499999999</v>
      </c>
      <c r="K72" s="14">
        <v>36.15026469</v>
      </c>
      <c r="L72" s="16">
        <v>1.78859967</v>
      </c>
      <c r="M72" s="14" t="s">
        <v>139</v>
      </c>
      <c r="N72" s="16" t="s">
        <v>139</v>
      </c>
      <c r="O72" s="14">
        <v>0</v>
      </c>
      <c r="P72" s="16">
        <v>0</v>
      </c>
      <c r="Q72" s="14">
        <v>0</v>
      </c>
      <c r="R72" s="16">
        <v>0</v>
      </c>
      <c r="S72" s="14">
        <v>0</v>
      </c>
      <c r="T72" s="16">
        <v>0</v>
      </c>
      <c r="U72" s="14">
        <v>0</v>
      </c>
      <c r="V72" s="16">
        <v>0</v>
      </c>
    </row>
    <row r="73" spans="1:22" x14ac:dyDescent="0.25">
      <c r="A73" s="11" t="s">
        <v>206</v>
      </c>
      <c r="B73" s="13">
        <v>3597</v>
      </c>
      <c r="C73" s="14">
        <f>(3033/B73*100)</f>
        <v>84.320266889074219</v>
      </c>
      <c r="D73" s="15">
        <v>564</v>
      </c>
      <c r="E73" s="14">
        <v>61.534499969999999</v>
      </c>
      <c r="F73" s="16">
        <v>2.49286998</v>
      </c>
      <c r="G73" s="14">
        <v>4.8443963099999996</v>
      </c>
      <c r="H73" s="16">
        <v>1.13590243</v>
      </c>
      <c r="I73" s="14">
        <v>11.40490585</v>
      </c>
      <c r="J73" s="16">
        <v>1.5128273299999999</v>
      </c>
      <c r="K73" s="14">
        <v>22.216197879999999</v>
      </c>
      <c r="L73" s="16">
        <v>2.3092705599999999</v>
      </c>
      <c r="M73" s="14" t="s">
        <v>139</v>
      </c>
      <c r="N73" s="16" t="s">
        <v>139</v>
      </c>
      <c r="O73" s="14">
        <v>0</v>
      </c>
      <c r="P73" s="16">
        <v>0</v>
      </c>
      <c r="Q73" s="14">
        <v>0</v>
      </c>
      <c r="R73" s="16">
        <v>0</v>
      </c>
      <c r="S73" s="14">
        <v>0</v>
      </c>
      <c r="T73" s="16">
        <v>0</v>
      </c>
      <c r="U73" s="14">
        <v>0</v>
      </c>
      <c r="V73" s="16">
        <v>0</v>
      </c>
    </row>
    <row r="74" spans="1:22"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c r="U74" s="17" t="s">
        <v>154</v>
      </c>
      <c r="V74" s="18" t="s">
        <v>154</v>
      </c>
    </row>
    <row r="75" spans="1:22" x14ac:dyDescent="0.25">
      <c r="A75" s="11" t="s">
        <v>208</v>
      </c>
      <c r="B75" s="13">
        <v>2406</v>
      </c>
      <c r="C75" s="14">
        <f>(2058/B75*100)</f>
        <v>85.536159600997507</v>
      </c>
      <c r="D75" s="15">
        <v>348</v>
      </c>
      <c r="E75" s="14">
        <v>83.729054259999998</v>
      </c>
      <c r="F75" s="16">
        <v>2.03028947</v>
      </c>
      <c r="G75" s="14">
        <v>3.3316797</v>
      </c>
      <c r="H75" s="16">
        <v>1.09739776</v>
      </c>
      <c r="I75" s="14">
        <v>9.8532469799999998</v>
      </c>
      <c r="J75" s="16">
        <v>1.5466667999999999</v>
      </c>
      <c r="K75" s="14">
        <v>3.0860190599999999</v>
      </c>
      <c r="L75" s="16">
        <v>0.91863368000000001</v>
      </c>
      <c r="M75" s="14" t="s">
        <v>139</v>
      </c>
      <c r="N75" s="16" t="s">
        <v>139</v>
      </c>
      <c r="O75" s="14">
        <v>0</v>
      </c>
      <c r="P75" s="16">
        <v>0</v>
      </c>
      <c r="Q75" s="14">
        <v>0</v>
      </c>
      <c r="R75" s="16">
        <v>0</v>
      </c>
      <c r="S75" s="14">
        <v>0</v>
      </c>
      <c r="T75" s="16">
        <v>0</v>
      </c>
      <c r="U75" s="14">
        <v>0</v>
      </c>
      <c r="V75" s="16">
        <v>0</v>
      </c>
    </row>
    <row r="76" spans="1:22" x14ac:dyDescent="0.25">
      <c r="A76" s="11" t="s">
        <v>209</v>
      </c>
      <c r="B76" s="13">
        <v>7052</v>
      </c>
      <c r="C76" s="14">
        <f>(5875/B76*100)</f>
        <v>83.309699376063534</v>
      </c>
      <c r="D76" s="15">
        <v>1177</v>
      </c>
      <c r="E76" s="14">
        <v>67.547695070000003</v>
      </c>
      <c r="F76" s="16">
        <v>1.75573924</v>
      </c>
      <c r="G76" s="14">
        <v>5.2091167699999996</v>
      </c>
      <c r="H76" s="16">
        <v>0.86583107999999998</v>
      </c>
      <c r="I76" s="14">
        <v>18.068613509999999</v>
      </c>
      <c r="J76" s="16">
        <v>1.24441377</v>
      </c>
      <c r="K76" s="14">
        <v>9.1745746599999993</v>
      </c>
      <c r="L76" s="16">
        <v>0.92448377999999998</v>
      </c>
      <c r="M76" s="14" t="s">
        <v>139</v>
      </c>
      <c r="N76" s="16" t="s">
        <v>139</v>
      </c>
      <c r="O76" s="14">
        <v>0</v>
      </c>
      <c r="P76" s="16">
        <v>0</v>
      </c>
      <c r="Q76" s="14">
        <v>0</v>
      </c>
      <c r="R76" s="16">
        <v>0</v>
      </c>
      <c r="S76" s="14">
        <v>0</v>
      </c>
      <c r="T76" s="16">
        <v>0</v>
      </c>
      <c r="U76" s="14">
        <v>0</v>
      </c>
      <c r="V76" s="16">
        <v>0</v>
      </c>
    </row>
    <row r="77" spans="1:22" x14ac:dyDescent="0.25">
      <c r="A77" s="11" t="s">
        <v>210</v>
      </c>
      <c r="B77" s="13">
        <v>2908</v>
      </c>
      <c r="C77" s="14">
        <f>(2486/B77*100)</f>
        <v>85.488308115543333</v>
      </c>
      <c r="D77" s="15">
        <v>422</v>
      </c>
      <c r="E77" s="14">
        <v>67.996850850000001</v>
      </c>
      <c r="F77" s="16">
        <v>2.5511592400000001</v>
      </c>
      <c r="G77" s="14">
        <v>2.6901736199999999</v>
      </c>
      <c r="H77" s="16">
        <v>0.80999608000000001</v>
      </c>
      <c r="I77" s="14">
        <v>21.477339570000002</v>
      </c>
      <c r="J77" s="16">
        <v>2.3268428000000001</v>
      </c>
      <c r="K77" s="14">
        <v>7.8356359700000002</v>
      </c>
      <c r="L77" s="16">
        <v>1.35917759</v>
      </c>
      <c r="M77" s="14" t="s">
        <v>139</v>
      </c>
      <c r="N77" s="16" t="s">
        <v>139</v>
      </c>
      <c r="O77" s="14">
        <v>0</v>
      </c>
      <c r="P77" s="16">
        <v>0</v>
      </c>
      <c r="Q77" s="14">
        <v>0</v>
      </c>
      <c r="R77" s="16">
        <v>0</v>
      </c>
      <c r="S77" s="14">
        <v>0</v>
      </c>
      <c r="T77" s="16">
        <v>0</v>
      </c>
      <c r="U77" s="14">
        <v>0</v>
      </c>
      <c r="V77" s="16">
        <v>0</v>
      </c>
    </row>
    <row r="78" spans="1:22"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c r="U78" s="17" t="s">
        <v>154</v>
      </c>
      <c r="V78" s="18" t="s">
        <v>154</v>
      </c>
    </row>
    <row r="79" spans="1:22"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c r="U79" s="17" t="s">
        <v>154</v>
      </c>
      <c r="V79" s="18" t="s">
        <v>154</v>
      </c>
    </row>
    <row r="80" spans="1:22"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c r="U80" s="17" t="s">
        <v>154</v>
      </c>
      <c r="V80" s="18" t="s">
        <v>154</v>
      </c>
    </row>
    <row r="81" spans="1:22" x14ac:dyDescent="0.25">
      <c r="A81" s="19" t="s">
        <v>214</v>
      </c>
      <c r="B81" s="13">
        <v>4163</v>
      </c>
      <c r="C81" s="14">
        <f>(3463/B81*100)</f>
        <v>83.185202978621192</v>
      </c>
      <c r="D81" s="15">
        <v>700</v>
      </c>
      <c r="E81" s="14">
        <v>63.062451260000003</v>
      </c>
      <c r="F81" s="16">
        <v>2.4633935400000002</v>
      </c>
      <c r="G81" s="14">
        <v>9.2127293600000009</v>
      </c>
      <c r="H81" s="16">
        <v>1.5046760800000001</v>
      </c>
      <c r="I81" s="14">
        <v>16.626139120000001</v>
      </c>
      <c r="J81" s="16">
        <v>1.52857175</v>
      </c>
      <c r="K81" s="14">
        <v>11.098680269999999</v>
      </c>
      <c r="L81" s="16">
        <v>1.4484746500000001</v>
      </c>
      <c r="M81" s="14" t="s">
        <v>139</v>
      </c>
      <c r="N81" s="16" t="s">
        <v>139</v>
      </c>
      <c r="O81" s="14">
        <v>0</v>
      </c>
      <c r="P81" s="16">
        <v>0</v>
      </c>
      <c r="Q81" s="14">
        <v>0</v>
      </c>
      <c r="R81" s="16">
        <v>0</v>
      </c>
      <c r="S81" s="14">
        <v>0</v>
      </c>
      <c r="T81" s="16">
        <v>0</v>
      </c>
      <c r="U81" s="14">
        <v>0</v>
      </c>
      <c r="V81" s="16">
        <v>0</v>
      </c>
    </row>
    <row r="82" spans="1:22"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c r="U82" s="20" t="s">
        <v>215</v>
      </c>
      <c r="V82" s="20" t="s">
        <v>215</v>
      </c>
    </row>
    <row r="83" spans="1:22" x14ac:dyDescent="0.25">
      <c r="A83" s="3" t="s">
        <v>216</v>
      </c>
    </row>
    <row r="84" spans="1:22" x14ac:dyDescent="0.25">
      <c r="A84" s="28" t="s">
        <v>217</v>
      </c>
      <c r="B84" s="26"/>
      <c r="C84" s="26"/>
      <c r="D84" s="26"/>
      <c r="E84" s="26"/>
      <c r="F84" s="26"/>
      <c r="G84" s="26"/>
      <c r="H84" s="26"/>
      <c r="I84" s="26"/>
      <c r="J84" s="26"/>
      <c r="K84" s="26"/>
      <c r="L84" s="26"/>
      <c r="M84" s="26"/>
      <c r="N84" s="26"/>
      <c r="O84" s="26"/>
      <c r="P84" s="26"/>
      <c r="Q84" s="26"/>
      <c r="R84" s="26"/>
      <c r="S84" s="26"/>
      <c r="T84" s="26"/>
      <c r="U84" s="26"/>
      <c r="V84" s="26"/>
    </row>
    <row r="85" spans="1:22" x14ac:dyDescent="0.25">
      <c r="A85" s="28" t="s">
        <v>218</v>
      </c>
      <c r="B85" s="26"/>
      <c r="C85" s="26"/>
      <c r="D85" s="26"/>
      <c r="E85" s="26"/>
      <c r="F85" s="26"/>
      <c r="G85" s="26"/>
      <c r="H85" s="26"/>
      <c r="I85" s="26"/>
      <c r="J85" s="26"/>
      <c r="K85" s="26"/>
      <c r="L85" s="26"/>
      <c r="M85" s="26"/>
      <c r="N85" s="26"/>
      <c r="O85" s="26"/>
      <c r="P85" s="26"/>
      <c r="Q85" s="26"/>
      <c r="R85" s="26"/>
      <c r="S85" s="26"/>
      <c r="T85" s="26"/>
      <c r="U85" s="26"/>
      <c r="V85" s="26"/>
    </row>
    <row r="86" spans="1:22" ht="30" customHeight="1" x14ac:dyDescent="0.25">
      <c r="A86" s="28" t="s">
        <v>219</v>
      </c>
      <c r="B86" s="26"/>
      <c r="C86" s="26"/>
      <c r="D86" s="26"/>
      <c r="E86" s="26"/>
      <c r="F86" s="26"/>
      <c r="G86" s="26"/>
      <c r="H86" s="26"/>
      <c r="I86" s="26"/>
      <c r="J86" s="26"/>
      <c r="K86" s="26"/>
      <c r="L86" s="26"/>
      <c r="M86" s="26"/>
      <c r="N86" s="26"/>
      <c r="O86" s="26"/>
      <c r="P86" s="26"/>
      <c r="Q86" s="26"/>
      <c r="R86" s="26"/>
      <c r="S86" s="26"/>
      <c r="T86" s="26"/>
      <c r="U86" s="26"/>
      <c r="V86" s="26"/>
    </row>
    <row r="87" spans="1:22" ht="30" customHeight="1" x14ac:dyDescent="0.25">
      <c r="A87" s="28" t="s">
        <v>215</v>
      </c>
      <c r="B87" s="26"/>
      <c r="C87" s="26"/>
      <c r="D87" s="26"/>
      <c r="E87" s="26"/>
      <c r="F87" s="26"/>
      <c r="G87" s="26"/>
      <c r="H87" s="26"/>
      <c r="I87" s="26"/>
      <c r="J87" s="26"/>
      <c r="K87" s="26"/>
      <c r="L87" s="26"/>
      <c r="M87" s="26"/>
      <c r="N87" s="26"/>
      <c r="O87" s="26"/>
      <c r="P87" s="26"/>
      <c r="Q87" s="26"/>
      <c r="R87" s="26"/>
      <c r="S87" s="26"/>
      <c r="T87" s="26"/>
      <c r="U87" s="26"/>
      <c r="V87" s="26"/>
    </row>
    <row r="88" spans="1:22" ht="30" customHeight="1" x14ac:dyDescent="0.25">
      <c r="A88" s="28" t="s">
        <v>220</v>
      </c>
      <c r="B88" s="26"/>
      <c r="C88" s="26"/>
      <c r="D88" s="26"/>
      <c r="E88" s="26"/>
      <c r="F88" s="26"/>
      <c r="G88" s="26"/>
      <c r="H88" s="26"/>
      <c r="I88" s="26"/>
      <c r="J88" s="26"/>
      <c r="K88" s="26"/>
      <c r="L88" s="26"/>
      <c r="M88" s="26"/>
      <c r="N88" s="26"/>
      <c r="O88" s="26"/>
      <c r="P88" s="26"/>
      <c r="Q88" s="26"/>
      <c r="R88" s="26"/>
      <c r="S88" s="26"/>
      <c r="T88" s="26"/>
      <c r="U88" s="26"/>
      <c r="V88" s="26"/>
    </row>
    <row r="89" spans="1:22" ht="30" customHeight="1" x14ac:dyDescent="0.25">
      <c r="A89" s="28" t="s">
        <v>221</v>
      </c>
      <c r="B89" s="26"/>
      <c r="C89" s="26"/>
      <c r="D89" s="26"/>
      <c r="E89" s="26"/>
      <c r="F89" s="26"/>
      <c r="G89" s="26"/>
      <c r="H89" s="26"/>
      <c r="I89" s="26"/>
      <c r="J89" s="26"/>
      <c r="K89" s="26"/>
      <c r="L89" s="26"/>
      <c r="M89" s="26"/>
      <c r="N89" s="26"/>
      <c r="O89" s="26"/>
      <c r="P89" s="26"/>
      <c r="Q89" s="26"/>
      <c r="R89" s="26"/>
      <c r="S89" s="26"/>
      <c r="T89" s="26"/>
      <c r="U89" s="26"/>
      <c r="V89" s="26"/>
    </row>
    <row r="90" spans="1:22" ht="30" customHeight="1" x14ac:dyDescent="0.25">
      <c r="A90" s="28" t="s">
        <v>222</v>
      </c>
      <c r="B90" s="26"/>
      <c r="C90" s="26"/>
      <c r="D90" s="26"/>
      <c r="E90" s="26"/>
      <c r="F90" s="26"/>
      <c r="G90" s="26"/>
      <c r="H90" s="26"/>
      <c r="I90" s="26"/>
      <c r="J90" s="26"/>
      <c r="K90" s="26"/>
      <c r="L90" s="26"/>
      <c r="M90" s="26"/>
      <c r="N90" s="26"/>
      <c r="O90" s="26"/>
      <c r="P90" s="26"/>
      <c r="Q90" s="26"/>
      <c r="R90" s="26"/>
      <c r="S90" s="26"/>
      <c r="T90" s="26"/>
      <c r="U90" s="26"/>
      <c r="V90" s="26"/>
    </row>
    <row r="91" spans="1:22" ht="30" customHeight="1" x14ac:dyDescent="0.25">
      <c r="A91" s="28" t="s">
        <v>223</v>
      </c>
      <c r="B91" s="26"/>
      <c r="C91" s="26"/>
      <c r="D91" s="26"/>
      <c r="E91" s="26"/>
      <c r="F91" s="26"/>
      <c r="G91" s="26"/>
      <c r="H91" s="26"/>
      <c r="I91" s="26"/>
      <c r="J91" s="26"/>
      <c r="K91" s="26"/>
      <c r="L91" s="26"/>
      <c r="M91" s="26"/>
      <c r="N91" s="26"/>
      <c r="O91" s="26"/>
      <c r="P91" s="26"/>
      <c r="Q91" s="26"/>
      <c r="R91" s="26"/>
      <c r="S91" s="26"/>
      <c r="T91" s="26"/>
      <c r="U91" s="26"/>
      <c r="V91" s="26"/>
    </row>
    <row r="92" spans="1:22" ht="30" customHeight="1" x14ac:dyDescent="0.25">
      <c r="A92" s="28" t="s">
        <v>224</v>
      </c>
      <c r="B92" s="26"/>
      <c r="C92" s="26"/>
      <c r="D92" s="26"/>
      <c r="E92" s="26"/>
      <c r="F92" s="26"/>
      <c r="G92" s="26"/>
      <c r="H92" s="26"/>
      <c r="I92" s="26"/>
      <c r="J92" s="26"/>
      <c r="K92" s="26"/>
      <c r="L92" s="26"/>
      <c r="M92" s="26"/>
      <c r="N92" s="26"/>
      <c r="O92" s="26"/>
      <c r="P92" s="26"/>
      <c r="Q92" s="26"/>
      <c r="R92" s="26"/>
      <c r="S92" s="26"/>
      <c r="T92" s="26"/>
      <c r="U92" s="26"/>
      <c r="V92" s="26"/>
    </row>
    <row r="93" spans="1:22" ht="30" customHeight="1" x14ac:dyDescent="0.25">
      <c r="A93" s="28" t="s">
        <v>225</v>
      </c>
      <c r="B93" s="26"/>
      <c r="C93" s="26"/>
      <c r="D93" s="26"/>
      <c r="E93" s="26"/>
      <c r="F93" s="26"/>
      <c r="G93" s="26"/>
      <c r="H93" s="26"/>
      <c r="I93" s="26"/>
      <c r="J93" s="26"/>
      <c r="K93" s="26"/>
      <c r="L93" s="26"/>
      <c r="M93" s="26"/>
      <c r="N93" s="26"/>
      <c r="O93" s="26"/>
      <c r="P93" s="26"/>
      <c r="Q93" s="26"/>
      <c r="R93" s="26"/>
      <c r="S93" s="26"/>
      <c r="T93" s="26"/>
      <c r="U93" s="26"/>
      <c r="V93" s="26"/>
    </row>
    <row r="94" spans="1:22" ht="30" customHeight="1" x14ac:dyDescent="0.25">
      <c r="A94" s="28" t="s">
        <v>226</v>
      </c>
      <c r="B94" s="26"/>
      <c r="C94" s="26"/>
      <c r="D94" s="26"/>
      <c r="E94" s="26"/>
      <c r="F94" s="26"/>
      <c r="G94" s="26"/>
      <c r="H94" s="26"/>
      <c r="I94" s="26"/>
      <c r="J94" s="26"/>
      <c r="K94" s="26"/>
      <c r="L94" s="26"/>
      <c r="M94" s="26"/>
      <c r="N94" s="26"/>
      <c r="O94" s="26"/>
      <c r="P94" s="26"/>
      <c r="Q94" s="26"/>
      <c r="R94" s="26"/>
      <c r="S94" s="26"/>
      <c r="T94" s="26"/>
      <c r="U94" s="26"/>
      <c r="V94" s="26"/>
    </row>
    <row r="95" spans="1:22" ht="30" customHeight="1" x14ac:dyDescent="0.25">
      <c r="A95" s="28" t="s">
        <v>227</v>
      </c>
      <c r="B95" s="26"/>
      <c r="C95" s="26"/>
      <c r="D95" s="26"/>
      <c r="E95" s="26"/>
      <c r="F95" s="26"/>
      <c r="G95" s="26"/>
      <c r="H95" s="26"/>
      <c r="I95" s="26"/>
      <c r="J95" s="26"/>
      <c r="K95" s="26"/>
      <c r="L95" s="26"/>
      <c r="M95" s="26"/>
      <c r="N95" s="26"/>
      <c r="O95" s="26"/>
      <c r="P95" s="26"/>
      <c r="Q95" s="26"/>
      <c r="R95" s="26"/>
      <c r="S95" s="26"/>
      <c r="T95" s="26"/>
      <c r="U95" s="26"/>
      <c r="V95" s="26"/>
    </row>
    <row r="96" spans="1:22" ht="30" customHeight="1" x14ac:dyDescent="0.25">
      <c r="A96" s="28" t="s">
        <v>228</v>
      </c>
      <c r="B96" s="26"/>
      <c r="C96" s="26"/>
      <c r="D96" s="26"/>
      <c r="E96" s="26"/>
      <c r="F96" s="26"/>
      <c r="G96" s="26"/>
      <c r="H96" s="26"/>
      <c r="I96" s="26"/>
      <c r="J96" s="26"/>
      <c r="K96" s="26"/>
      <c r="L96" s="26"/>
      <c r="M96" s="26"/>
      <c r="N96" s="26"/>
      <c r="O96" s="26"/>
      <c r="P96" s="26"/>
      <c r="Q96" s="26"/>
      <c r="R96" s="26"/>
      <c r="S96" s="26"/>
      <c r="T96" s="26"/>
      <c r="U96" s="26"/>
      <c r="V96" s="26"/>
    </row>
  </sheetData>
  <mergeCells count="24">
    <mergeCell ref="A94:V94"/>
    <mergeCell ref="A95:V95"/>
    <mergeCell ref="A96:V96"/>
    <mergeCell ref="A89:V89"/>
    <mergeCell ref="A90:V90"/>
    <mergeCell ref="A91:V91"/>
    <mergeCell ref="A92:V92"/>
    <mergeCell ref="A93:V93"/>
    <mergeCell ref="A84:V84"/>
    <mergeCell ref="A85:V85"/>
    <mergeCell ref="A86:V86"/>
    <mergeCell ref="A87:V87"/>
    <mergeCell ref="A88:V88"/>
    <mergeCell ref="O4:P4"/>
    <mergeCell ref="Q4:R4"/>
    <mergeCell ref="S4:T4"/>
    <mergeCell ref="U4:V4"/>
    <mergeCell ref="A1:V1"/>
    <mergeCell ref="A2:V2"/>
    <mergeCell ref="E4:F4"/>
    <mergeCell ref="G4:H4"/>
    <mergeCell ref="I4:J4"/>
    <mergeCell ref="K4:L4"/>
    <mergeCell ref="M4:N4"/>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333</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65.762900619999996</v>
      </c>
      <c r="F7" s="16">
        <v>1.77688983</v>
      </c>
      <c r="G7" s="14">
        <v>34.237099379999997</v>
      </c>
      <c r="H7" s="16">
        <v>1.77688983</v>
      </c>
      <c r="I7" s="14" t="s">
        <v>139</v>
      </c>
      <c r="J7" s="16" t="s">
        <v>139</v>
      </c>
      <c r="K7" s="14">
        <v>0</v>
      </c>
      <c r="L7" s="16">
        <v>0</v>
      </c>
      <c r="M7" s="14">
        <v>0</v>
      </c>
      <c r="N7" s="16">
        <v>0</v>
      </c>
      <c r="O7" s="14">
        <v>0</v>
      </c>
      <c r="P7" s="16">
        <v>0</v>
      </c>
      <c r="Q7" s="14">
        <v>0</v>
      </c>
      <c r="R7" s="16">
        <v>0</v>
      </c>
    </row>
    <row r="8" spans="1:18" x14ac:dyDescent="0.25">
      <c r="A8" s="11" t="s">
        <v>140</v>
      </c>
      <c r="B8" s="13">
        <v>3564</v>
      </c>
      <c r="C8" s="14">
        <f>(3000/B8*100)</f>
        <v>84.17508417508418</v>
      </c>
      <c r="D8" s="15">
        <v>564</v>
      </c>
      <c r="E8" s="14">
        <v>67.364158669999995</v>
      </c>
      <c r="F8" s="16">
        <v>2.1090056100000001</v>
      </c>
      <c r="G8" s="14">
        <v>32.635841329999998</v>
      </c>
      <c r="H8" s="16">
        <v>2.1090056100000001</v>
      </c>
      <c r="I8" s="14" t="s">
        <v>139</v>
      </c>
      <c r="J8" s="16" t="s">
        <v>139</v>
      </c>
      <c r="K8" s="14">
        <v>0</v>
      </c>
      <c r="L8" s="16">
        <v>0</v>
      </c>
      <c r="M8" s="14">
        <v>0</v>
      </c>
      <c r="N8" s="16">
        <v>0</v>
      </c>
      <c r="O8" s="14">
        <v>0</v>
      </c>
      <c r="P8" s="16">
        <v>0</v>
      </c>
      <c r="Q8" s="14">
        <v>0</v>
      </c>
      <c r="R8" s="16">
        <v>0</v>
      </c>
    </row>
    <row r="9" spans="1:18" x14ac:dyDescent="0.25">
      <c r="A9" s="11" t="s">
        <v>141</v>
      </c>
      <c r="B9" s="13">
        <v>4899</v>
      </c>
      <c r="C9" s="14">
        <f>(4175/B9*100)</f>
        <v>85.221473770157175</v>
      </c>
      <c r="D9" s="15">
        <v>724</v>
      </c>
      <c r="E9" s="14">
        <v>64.454367570000002</v>
      </c>
      <c r="F9" s="16">
        <v>1.84462671</v>
      </c>
      <c r="G9" s="14">
        <v>35.545632429999998</v>
      </c>
      <c r="H9" s="16">
        <v>1.84462671</v>
      </c>
      <c r="I9" s="14" t="s">
        <v>139</v>
      </c>
      <c r="J9" s="16" t="s">
        <v>139</v>
      </c>
      <c r="K9" s="14">
        <v>0</v>
      </c>
      <c r="L9" s="16">
        <v>0</v>
      </c>
      <c r="M9" s="14">
        <v>0</v>
      </c>
      <c r="N9" s="16">
        <v>0</v>
      </c>
      <c r="O9" s="14">
        <v>0</v>
      </c>
      <c r="P9" s="16">
        <v>0</v>
      </c>
      <c r="Q9" s="14">
        <v>0</v>
      </c>
      <c r="R9" s="16">
        <v>0</v>
      </c>
    </row>
    <row r="10" spans="1:18" x14ac:dyDescent="0.25">
      <c r="A10" s="11" t="s">
        <v>142</v>
      </c>
      <c r="B10" s="13">
        <v>10036</v>
      </c>
      <c r="C10" s="14">
        <f>(8407/B10*100)</f>
        <v>83.768433638899964</v>
      </c>
      <c r="D10" s="15">
        <v>1629</v>
      </c>
      <c r="E10" s="14">
        <v>63.243494269999999</v>
      </c>
      <c r="F10" s="16">
        <v>1.5737255800000001</v>
      </c>
      <c r="G10" s="14">
        <v>36.756505730000001</v>
      </c>
      <c r="H10" s="16">
        <v>1.5737255800000001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(3017/B11*100)</f>
        <v>84.914157050379956</v>
      </c>
      <c r="D11" s="15">
        <v>536</v>
      </c>
      <c r="E11" s="14">
        <v>64.167780429999993</v>
      </c>
      <c r="F11" s="16">
        <v>2.13166038</v>
      </c>
      <c r="G11" s="14">
        <v>35.832219569999999</v>
      </c>
      <c r="H11" s="16">
        <v>2.13166038</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(2904/B12*100)</f>
        <v>83.640552995391701</v>
      </c>
      <c r="D12" s="15">
        <v>568</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(3043/B13*100)</f>
        <v>85.50154537791515</v>
      </c>
      <c r="D13" s="15">
        <v>516</v>
      </c>
      <c r="E13" s="14">
        <v>66.344065599999993</v>
      </c>
      <c r="F13" s="16">
        <v>2.4444874300000001</v>
      </c>
      <c r="G13" s="14">
        <v>33.6559344</v>
      </c>
      <c r="H13" s="16">
        <v>2.4444874300000001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(2344/B14*100)</f>
        <v>83.744194355126837</v>
      </c>
      <c r="D14" s="15">
        <v>455</v>
      </c>
      <c r="E14" s="14">
        <v>72.658063290000001</v>
      </c>
      <c r="F14" s="16">
        <v>2.3194397699999998</v>
      </c>
      <c r="G14" s="14">
        <v>27.341936709999999</v>
      </c>
      <c r="H14" s="16">
        <v>2.3194397699999998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(2530/B15*100)</f>
        <v>83.802583636965878</v>
      </c>
      <c r="D15" s="15">
        <v>489</v>
      </c>
      <c r="E15" s="14">
        <v>74.440947910000006</v>
      </c>
      <c r="F15" s="16">
        <v>2.0956457899999998</v>
      </c>
      <c r="G15" s="14">
        <v>25.559052090000002</v>
      </c>
      <c r="H15" s="16">
        <v>2.0956457899999998</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(2544/B16*100)</f>
        <v>84.884884884884883</v>
      </c>
      <c r="D16" s="15">
        <v>453</v>
      </c>
      <c r="E16" s="14">
        <v>72.725141399999998</v>
      </c>
      <c r="F16" s="16">
        <v>2.0702870099999999</v>
      </c>
      <c r="G16" s="14">
        <v>27.274858600000002</v>
      </c>
      <c r="H16" s="16">
        <v>2.0702870099999999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(2830/B17*100)</f>
        <v>85.57605080133051</v>
      </c>
      <c r="D17" s="15">
        <v>477</v>
      </c>
      <c r="E17" s="14">
        <v>66.838743969999996</v>
      </c>
      <c r="F17" s="16">
        <v>2.0025670899999999</v>
      </c>
      <c r="G17" s="14">
        <v>33.161256029999997</v>
      </c>
      <c r="H17" s="16">
        <v>2.0025670899999999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(2365/B18*100)</f>
        <v>83.687190375088463</v>
      </c>
      <c r="D18" s="15">
        <v>461</v>
      </c>
      <c r="E18" s="14">
        <v>72.280281299999999</v>
      </c>
      <c r="F18" s="16">
        <v>2.56453336</v>
      </c>
      <c r="G18" s="14">
        <v>27.719718700000001</v>
      </c>
      <c r="H18" s="16">
        <v>2.56453336</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(2376/B19*100)</f>
        <v>84.615384615384613</v>
      </c>
      <c r="D19" s="15">
        <v>432</v>
      </c>
      <c r="E19" s="14">
        <v>82.169386739999993</v>
      </c>
      <c r="F19" s="16">
        <v>2.0351869800000002</v>
      </c>
      <c r="G19" s="14">
        <v>17.83061326</v>
      </c>
      <c r="H19" s="16">
        <v>2.0351869800000002</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(1376/B20*100)</f>
        <v>84.417177914110425</v>
      </c>
      <c r="D20" s="15">
        <v>254</v>
      </c>
      <c r="E20" s="14">
        <v>74.612546260000002</v>
      </c>
      <c r="F20" s="16">
        <v>2.9633424399999999</v>
      </c>
      <c r="G20" s="14">
        <v>25.387453740000002</v>
      </c>
      <c r="H20" s="16">
        <v>2.9633424399999999</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69.793711579999993</v>
      </c>
      <c r="F22" s="16">
        <v>2.4567545800000001</v>
      </c>
      <c r="G22" s="14">
        <v>30.20628842</v>
      </c>
      <c r="H22" s="16">
        <v>2.4567545800000001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(4848/B23*100)</f>
        <v>83.716111207045415</v>
      </c>
      <c r="D23" s="15">
        <v>943</v>
      </c>
      <c r="E23" s="14">
        <v>0.36147182</v>
      </c>
      <c r="F23" s="16">
        <v>5.9329739999999999E-2</v>
      </c>
      <c r="G23" s="14">
        <v>0.23293546000000001</v>
      </c>
      <c r="H23" s="16">
        <v>4.3479619999999997E-2</v>
      </c>
      <c r="I23" s="14" t="s">
        <v>139</v>
      </c>
      <c r="J23" s="16" t="s">
        <v>139</v>
      </c>
      <c r="K23" s="14">
        <v>0</v>
      </c>
      <c r="L23" s="16">
        <v>0</v>
      </c>
      <c r="M23" s="14">
        <v>99.405592720000001</v>
      </c>
      <c r="N23" s="16">
        <v>8.0954100000000001E-2</v>
      </c>
      <c r="O23" s="14">
        <v>0</v>
      </c>
      <c r="P23" s="16">
        <v>0</v>
      </c>
      <c r="Q23" s="14">
        <v>0</v>
      </c>
      <c r="R23" s="16">
        <v>0</v>
      </c>
    </row>
    <row r="24" spans="1:18" x14ac:dyDescent="0.25">
      <c r="A24" s="11" t="s">
        <v>157</v>
      </c>
      <c r="B24" s="13">
        <v>3338</v>
      </c>
      <c r="C24" s="14">
        <f>(2797/B24*100)</f>
        <v>83.792690233672857</v>
      </c>
      <c r="D24" s="15">
        <v>541</v>
      </c>
      <c r="E24" s="14">
        <v>71.200722510000006</v>
      </c>
      <c r="F24" s="16">
        <v>2.0869001599999999</v>
      </c>
      <c r="G24" s="14">
        <v>28.799277490000001</v>
      </c>
      <c r="H24" s="16">
        <v>2.0869001599999999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(2414/B25*100)</f>
        <v>82.89835164835165</v>
      </c>
      <c r="D25" s="15">
        <v>498</v>
      </c>
      <c r="E25" s="14">
        <v>71.286185900000007</v>
      </c>
      <c r="F25" s="16">
        <v>1.85883036</v>
      </c>
      <c r="G25" s="14">
        <v>28.7138141</v>
      </c>
      <c r="H25" s="16">
        <v>1.85883036</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(2058/B26*100)</f>
        <v>84</v>
      </c>
      <c r="D26" s="15">
        <v>392</v>
      </c>
      <c r="E26" s="14">
        <v>67.082078800000005</v>
      </c>
      <c r="F26" s="16">
        <v>2.5897366000000002</v>
      </c>
      <c r="G26" s="14">
        <v>32.917921200000002</v>
      </c>
      <c r="H26" s="16">
        <v>2.5897366000000002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(2229/B27*100)</f>
        <v>85.206422018348633</v>
      </c>
      <c r="D27" s="15">
        <v>387</v>
      </c>
      <c r="E27" s="14">
        <v>70.761742339999998</v>
      </c>
      <c r="F27" s="16">
        <v>2.4436795500000001</v>
      </c>
      <c r="G27" s="14">
        <v>29.238257659999999</v>
      </c>
      <c r="H27" s="16">
        <v>2.4436795500000001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(3235/B28*100)</f>
        <v>85.922974767596287</v>
      </c>
      <c r="D28" s="15">
        <v>530</v>
      </c>
      <c r="E28" s="14">
        <v>71.032044279999994</v>
      </c>
      <c r="F28" s="16">
        <v>2.2419594900000002</v>
      </c>
      <c r="G28" s="14">
        <v>28.967955719999999</v>
      </c>
      <c r="H28" s="16">
        <v>2.2419594900000002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48.86898205</v>
      </c>
      <c r="F29" s="16">
        <v>2.3933618700000001</v>
      </c>
      <c r="G29" s="14">
        <v>51.13101795</v>
      </c>
      <c r="H29" s="16">
        <v>2.3933618700000001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(1921/B30*100)</f>
        <v>84.887317719840922</v>
      </c>
      <c r="D30" s="15">
        <v>342</v>
      </c>
      <c r="E30" s="14">
        <v>70.880382569999995</v>
      </c>
      <c r="F30" s="16">
        <v>2.3123889700000002</v>
      </c>
      <c r="G30" s="14">
        <v>29.119617430000002</v>
      </c>
      <c r="H30" s="16">
        <v>2.3123889700000002</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(2318/B31*100)</f>
        <v>84.290909090909096</v>
      </c>
      <c r="D31" s="15">
        <v>432</v>
      </c>
      <c r="E31" s="14">
        <v>58.779773089999999</v>
      </c>
      <c r="F31" s="16">
        <v>2.4647045599999999</v>
      </c>
      <c r="G31" s="14">
        <v>41.220226910000001</v>
      </c>
      <c r="H31" s="16">
        <v>2.4647045599999999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56.113411900000003</v>
      </c>
      <c r="F33" s="16">
        <v>2.2070710299999998</v>
      </c>
      <c r="G33" s="14">
        <v>43.886588099999997</v>
      </c>
      <c r="H33" s="16">
        <v>2.2070710299999998</v>
      </c>
      <c r="I33" s="14" t="s">
        <v>139</v>
      </c>
      <c r="J33" s="16" t="s">
        <v>139</v>
      </c>
      <c r="K33" s="14">
        <v>0</v>
      </c>
      <c r="L33" s="16">
        <v>0</v>
      </c>
      <c r="M33" s="14">
        <v>0</v>
      </c>
      <c r="N33" s="16">
        <v>0</v>
      </c>
      <c r="O33" s="14">
        <v>0</v>
      </c>
      <c r="P33" s="16">
        <v>0</v>
      </c>
      <c r="Q33" s="14">
        <v>0</v>
      </c>
      <c r="R33" s="16">
        <v>0</v>
      </c>
    </row>
    <row r="34" spans="1:18" x14ac:dyDescent="0.25">
      <c r="A34" s="11" t="s">
        <v>167</v>
      </c>
      <c r="B34" s="13">
        <v>3315</v>
      </c>
      <c r="C34" s="14">
        <f>(2819/B34*100)</f>
        <v>85.037707390648563</v>
      </c>
      <c r="D34" s="15">
        <v>496</v>
      </c>
      <c r="E34" s="14">
        <v>66.507032879999997</v>
      </c>
      <c r="F34" s="16">
        <v>2.1795628599999999</v>
      </c>
      <c r="G34" s="14">
        <v>33.492967120000003</v>
      </c>
      <c r="H34" s="16">
        <v>2.1795628599999999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(2950/B35*100)</f>
        <v>84.165477888730393</v>
      </c>
      <c r="D35" s="15">
        <v>555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3332</v>
      </c>
      <c r="C36" s="14">
        <f>(2807/B36*100)</f>
        <v>84.243697478991592</v>
      </c>
      <c r="D36" s="15">
        <v>525</v>
      </c>
      <c r="E36" s="14">
        <v>75.506307469999996</v>
      </c>
      <c r="F36" s="16">
        <v>1.7124492499999999</v>
      </c>
      <c r="G36" s="14">
        <v>24.493692530000001</v>
      </c>
      <c r="H36" s="16">
        <v>1.7124492499999999</v>
      </c>
      <c r="I36" s="14" t="s">
        <v>139</v>
      </c>
      <c r="J36" s="16" t="s">
        <v>139</v>
      </c>
      <c r="K36" s="14">
        <v>0</v>
      </c>
      <c r="L36" s="16">
        <v>0</v>
      </c>
      <c r="M36" s="14">
        <v>0</v>
      </c>
      <c r="N36" s="16">
        <v>0</v>
      </c>
      <c r="O36" s="14">
        <v>0</v>
      </c>
      <c r="P36" s="16">
        <v>0</v>
      </c>
      <c r="Q36" s="14">
        <v>0</v>
      </c>
      <c r="R36" s="16">
        <v>0</v>
      </c>
    </row>
    <row r="37" spans="1:18" x14ac:dyDescent="0.25">
      <c r="A37" s="11" t="s">
        <v>170</v>
      </c>
      <c r="B37" s="13">
        <v>2727</v>
      </c>
      <c r="C37" s="14">
        <f>(2325/B37*100)</f>
        <v>85.258525852585251</v>
      </c>
      <c r="D37" s="15">
        <v>402</v>
      </c>
      <c r="E37" s="14">
        <v>64.3582787</v>
      </c>
      <c r="F37" s="16">
        <v>2.2764290699999998</v>
      </c>
      <c r="G37" s="14">
        <v>35.6417213</v>
      </c>
      <c r="H37" s="16">
        <v>2.2764290699999998</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68.271697009999997</v>
      </c>
      <c r="F39" s="16">
        <v>2.1473198400000002</v>
      </c>
      <c r="G39" s="14">
        <v>31.72830299</v>
      </c>
      <c r="H39" s="16">
        <v>2.1473198400000002</v>
      </c>
      <c r="I39" s="14" t="s">
        <v>139</v>
      </c>
      <c r="J39" s="16" t="s">
        <v>139</v>
      </c>
      <c r="K39" s="14">
        <v>0</v>
      </c>
      <c r="L39" s="16">
        <v>0</v>
      </c>
      <c r="M39" s="14">
        <v>0</v>
      </c>
      <c r="N39" s="16">
        <v>0</v>
      </c>
      <c r="O39" s="14">
        <v>0</v>
      </c>
      <c r="P39" s="16">
        <v>0</v>
      </c>
      <c r="Q39" s="14">
        <v>0</v>
      </c>
      <c r="R39" s="16">
        <v>0</v>
      </c>
    </row>
    <row r="40" spans="1:18" x14ac:dyDescent="0.25">
      <c r="A40" s="11" t="s">
        <v>173</v>
      </c>
      <c r="B40" s="13">
        <v>7235</v>
      </c>
      <c r="C40" s="14">
        <f>(6051/B40*100)</f>
        <v>83.63510711817554</v>
      </c>
      <c r="D40" s="15">
        <v>1184</v>
      </c>
      <c r="E40" s="14">
        <v>65.320769780000006</v>
      </c>
      <c r="F40" s="16">
        <v>2.2786570300000002</v>
      </c>
      <c r="G40" s="14">
        <v>34.679230220000001</v>
      </c>
      <c r="H40" s="16">
        <v>2.2786570300000002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(2413/B41*100)</f>
        <v>84.429671098670397</v>
      </c>
      <c r="D41" s="15">
        <v>445</v>
      </c>
      <c r="E41" s="14">
        <v>62.863325359999997</v>
      </c>
      <c r="F41" s="16">
        <v>2.4277025600000002</v>
      </c>
      <c r="G41" s="14">
        <v>37.136674640000003</v>
      </c>
      <c r="H41" s="16">
        <v>2.4277025600000002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61.439056127187499</v>
      </c>
      <c r="F42" s="16">
        <f>IF(COUNT(F7:F41) &gt; 0, SQRT(SUMSQ(F7:F41)/(COUNT(F7:F41)*COUNT(F7:F41)) ), "—")</f>
        <v>0.37462184369127333</v>
      </c>
      <c r="G42" s="14">
        <f>IF(COUNT(G7:G41) &gt; 0, AVERAGE(G7:G41), "—")</f>
        <v>29.204519100312499</v>
      </c>
      <c r="H42" s="16">
        <f>IF(COUNT(H7:H41) &gt; 0, SQRT(SUMSQ(H7:H41)/(COUNT(H7:H41)*COUNT(H7:H41)) ), "—")</f>
        <v>0.37461971974565844</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9.3564247725000005</v>
      </c>
      <c r="N42" s="16">
        <f>IF(COUNT(N7:N41) &gt; 0, SQRT(SUMSQ(N7:N41)/(COUNT(N7:N41)*COUNT(N7:N41)) ), "—")</f>
        <v>2.529815625E-3</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77.58980287</v>
      </c>
      <c r="F46" s="16">
        <v>1.37914541</v>
      </c>
      <c r="G46" s="14">
        <v>22.41019713</v>
      </c>
      <c r="H46" s="16">
        <v>1.37914541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(2646/B47*100)</f>
        <v>85.217391304347828</v>
      </c>
      <c r="D47" s="15">
        <v>459</v>
      </c>
      <c r="E47" s="14">
        <v>74.283083860000005</v>
      </c>
      <c r="F47" s="16">
        <v>2.0808469700000001</v>
      </c>
      <c r="G47" s="14">
        <v>25.716916139999999</v>
      </c>
      <c r="H47" s="16">
        <v>2.0808469700000001</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(4306/B48*100)</f>
        <v>83.465787943399889</v>
      </c>
      <c r="D48" s="15">
        <v>853</v>
      </c>
      <c r="E48" s="14">
        <v>63.714010899999998</v>
      </c>
      <c r="F48" s="16">
        <v>2.2121958199999998</v>
      </c>
      <c r="G48" s="14">
        <v>36.285989100000002</v>
      </c>
      <c r="H48" s="16">
        <v>2.2121958199999998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70.467320029999996</v>
      </c>
      <c r="F50" s="16">
        <v>1.8391513399999999</v>
      </c>
      <c r="G50" s="14">
        <v>29.53267997</v>
      </c>
      <c r="H50" s="16">
        <v>1.8391513399999999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(2916/B51*100)</f>
        <v>86.47686832740213</v>
      </c>
      <c r="D51" s="15">
        <v>456</v>
      </c>
      <c r="E51" s="14">
        <v>67.915604900000005</v>
      </c>
      <c r="F51" s="16">
        <v>2.82393771</v>
      </c>
      <c r="G51" s="14">
        <v>32.084395100000002</v>
      </c>
      <c r="H51" s="16">
        <v>2.82393771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(2369/B52*100)</f>
        <v>84.728183118741057</v>
      </c>
      <c r="D52" s="15">
        <v>427</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(2373/B53*100)</f>
        <v>84.418356456776948</v>
      </c>
      <c r="D53" s="15">
        <v>438</v>
      </c>
      <c r="E53" s="14">
        <v>67.356451719999995</v>
      </c>
      <c r="F53" s="16">
        <v>2.4679506899999999</v>
      </c>
      <c r="G53" s="14">
        <v>32.643548279999997</v>
      </c>
      <c r="H53" s="16">
        <v>2.4679506899999999</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47.200656979999998</v>
      </c>
      <c r="F56" s="16">
        <v>2.7070852300000001</v>
      </c>
      <c r="G56" s="14">
        <v>52.799343020000002</v>
      </c>
      <c r="H56" s="16">
        <v>2.7070852300000001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4.28773961</v>
      </c>
      <c r="F61" s="16">
        <v>0.70304213000000004</v>
      </c>
      <c r="G61" s="14">
        <v>1.6818450599999999</v>
      </c>
      <c r="H61" s="16">
        <v>0.27622911999999999</v>
      </c>
      <c r="I61" s="14" t="s">
        <v>139</v>
      </c>
      <c r="J61" s="16" t="s">
        <v>139</v>
      </c>
      <c r="K61" s="14">
        <v>0</v>
      </c>
      <c r="L61" s="16">
        <v>0</v>
      </c>
      <c r="M61" s="14">
        <v>94.030415329999997</v>
      </c>
      <c r="N61" s="16">
        <v>0.76434771000000001</v>
      </c>
      <c r="O61" s="14">
        <v>0</v>
      </c>
      <c r="P61" s="16">
        <v>0</v>
      </c>
      <c r="Q61" s="14">
        <v>0</v>
      </c>
      <c r="R61" s="16">
        <v>0</v>
      </c>
    </row>
    <row r="62" spans="1:18" x14ac:dyDescent="0.25">
      <c r="A62" s="11" t="s">
        <v>195</v>
      </c>
      <c r="B62" s="13">
        <v>2246</v>
      </c>
      <c r="C62" s="14">
        <f>(1872/B62*100)</f>
        <v>83.348174532502227</v>
      </c>
      <c r="D62" s="15">
        <v>374</v>
      </c>
      <c r="E62" s="14">
        <v>37.835250850000001</v>
      </c>
      <c r="F62" s="16">
        <v>2.5837798599999999</v>
      </c>
      <c r="G62" s="14">
        <v>62.164749149999999</v>
      </c>
      <c r="H62" s="16">
        <v>2.5837798599999999</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72.244665530000006</v>
      </c>
      <c r="F66" s="16">
        <v>2.34224604</v>
      </c>
      <c r="G66" s="14">
        <v>27.755334470000001</v>
      </c>
      <c r="H66" s="16">
        <v>2.34224604</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(3050/B67*100)</f>
        <v>86.869837653090286</v>
      </c>
      <c r="D67" s="15">
        <v>461</v>
      </c>
      <c r="E67" s="14">
        <v>64.933471830000002</v>
      </c>
      <c r="F67" s="16">
        <v>2.5362109899999998</v>
      </c>
      <c r="G67" s="14">
        <v>35.066528169999998</v>
      </c>
      <c r="H67" s="16">
        <v>2.5362109899999998</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66.267690740000006</v>
      </c>
      <c r="F70" s="16">
        <v>2.7530765800000001</v>
      </c>
      <c r="G70" s="14">
        <v>33.732309260000001</v>
      </c>
      <c r="H70" s="16">
        <v>2.7530765800000001</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76.864870530000005</v>
      </c>
      <c r="F72" s="16">
        <v>1.6010438199999999</v>
      </c>
      <c r="G72" s="14">
        <v>23.135129469999999</v>
      </c>
      <c r="H72" s="16">
        <v>1.6010438199999999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(3056/B73*100)</f>
        <v>84.959688629413392</v>
      </c>
      <c r="D73" s="15">
        <v>541</v>
      </c>
      <c r="E73" s="14">
        <v>56.574859859999997</v>
      </c>
      <c r="F73" s="16">
        <v>2.54949621</v>
      </c>
      <c r="G73" s="14">
        <v>43.425140140000003</v>
      </c>
      <c r="H73" s="16">
        <v>2.54949621</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85.313837739999997</v>
      </c>
      <c r="F75" s="16">
        <v>1.6805722299999999</v>
      </c>
      <c r="G75" s="14">
        <v>14.68616226</v>
      </c>
      <c r="H75" s="16">
        <v>1.6805722299999999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79.6781936</v>
      </c>
      <c r="F76" s="16">
        <v>1.6326654700000001</v>
      </c>
      <c r="G76" s="14">
        <v>20.3218064</v>
      </c>
      <c r="H76" s="16">
        <v>1.6326654700000001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(2508/B77*100)</f>
        <v>86.244841815680886</v>
      </c>
      <c r="D77" s="15">
        <v>400</v>
      </c>
      <c r="E77" s="14">
        <v>69.380830230000001</v>
      </c>
      <c r="F77" s="16">
        <v>2.62522872</v>
      </c>
      <c r="G77" s="14">
        <v>30.619169769999999</v>
      </c>
      <c r="H77" s="16">
        <v>2.62522872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74.944241439999999</v>
      </c>
      <c r="F81" s="16">
        <v>1.86768606</v>
      </c>
      <c r="G81" s="14">
        <v>25.055758560000001</v>
      </c>
      <c r="H81" s="16">
        <v>1.86768606</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334</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40.456363539999998</v>
      </c>
      <c r="F7" s="16">
        <v>1.93713936</v>
      </c>
      <c r="G7" s="14">
        <v>59.543636460000002</v>
      </c>
      <c r="H7" s="16">
        <v>1.93713936</v>
      </c>
      <c r="I7" s="14" t="s">
        <v>139</v>
      </c>
      <c r="J7" s="16" t="s">
        <v>139</v>
      </c>
      <c r="K7" s="14">
        <v>0</v>
      </c>
      <c r="L7" s="16">
        <v>0</v>
      </c>
      <c r="M7" s="14">
        <v>0</v>
      </c>
      <c r="N7" s="16">
        <v>0</v>
      </c>
      <c r="O7" s="14">
        <v>0</v>
      </c>
      <c r="P7" s="16">
        <v>0</v>
      </c>
      <c r="Q7" s="14">
        <v>0</v>
      </c>
      <c r="R7" s="16">
        <v>0</v>
      </c>
    </row>
    <row r="8" spans="1:18" x14ac:dyDescent="0.25">
      <c r="A8" s="11" t="s">
        <v>140</v>
      </c>
      <c r="B8" s="13">
        <v>3564</v>
      </c>
      <c r="C8" s="14">
        <f>(3000/B8*100)</f>
        <v>84.17508417508418</v>
      </c>
      <c r="D8" s="15">
        <v>564</v>
      </c>
      <c r="E8" s="14">
        <v>53.066205179999997</v>
      </c>
      <c r="F8" s="16">
        <v>2.3752997499999999</v>
      </c>
      <c r="G8" s="14">
        <v>46.933794820000003</v>
      </c>
      <c r="H8" s="16">
        <v>2.3752997499999999</v>
      </c>
      <c r="I8" s="14" t="s">
        <v>139</v>
      </c>
      <c r="J8" s="16" t="s">
        <v>139</v>
      </c>
      <c r="K8" s="14">
        <v>0</v>
      </c>
      <c r="L8" s="16">
        <v>0</v>
      </c>
      <c r="M8" s="14">
        <v>0</v>
      </c>
      <c r="N8" s="16">
        <v>0</v>
      </c>
      <c r="O8" s="14">
        <v>0</v>
      </c>
      <c r="P8" s="16">
        <v>0</v>
      </c>
      <c r="Q8" s="14">
        <v>0</v>
      </c>
      <c r="R8" s="16">
        <v>0</v>
      </c>
    </row>
    <row r="9" spans="1:18" x14ac:dyDescent="0.25">
      <c r="A9" s="11" t="s">
        <v>141</v>
      </c>
      <c r="B9" s="13">
        <v>4899</v>
      </c>
      <c r="C9" s="14">
        <f>(4175/B9*100)</f>
        <v>85.221473770157175</v>
      </c>
      <c r="D9" s="15">
        <v>724</v>
      </c>
      <c r="E9" s="14">
        <v>57.319430949999997</v>
      </c>
      <c r="F9" s="16">
        <v>2.0057616299999999</v>
      </c>
      <c r="G9" s="14">
        <v>42.680569050000003</v>
      </c>
      <c r="H9" s="16">
        <v>2.0057616299999999</v>
      </c>
      <c r="I9" s="14" t="s">
        <v>139</v>
      </c>
      <c r="J9" s="16" t="s">
        <v>139</v>
      </c>
      <c r="K9" s="14">
        <v>0</v>
      </c>
      <c r="L9" s="16">
        <v>0</v>
      </c>
      <c r="M9" s="14">
        <v>0</v>
      </c>
      <c r="N9" s="16">
        <v>0</v>
      </c>
      <c r="O9" s="14">
        <v>0</v>
      </c>
      <c r="P9" s="16">
        <v>0</v>
      </c>
      <c r="Q9" s="14">
        <v>0</v>
      </c>
      <c r="R9" s="16">
        <v>0</v>
      </c>
    </row>
    <row r="10" spans="1:18" x14ac:dyDescent="0.25">
      <c r="A10" s="11" t="s">
        <v>142</v>
      </c>
      <c r="B10" s="13">
        <v>10036</v>
      </c>
      <c r="C10" s="14">
        <f>(8407/B10*100)</f>
        <v>83.768433638899964</v>
      </c>
      <c r="D10" s="15">
        <v>1629</v>
      </c>
      <c r="E10" s="14">
        <v>44.933923370000002</v>
      </c>
      <c r="F10" s="16">
        <v>1.7597513300000001</v>
      </c>
      <c r="G10" s="14">
        <v>55.066076629999998</v>
      </c>
      <c r="H10" s="16">
        <v>1.7597513300000001</v>
      </c>
      <c r="I10" s="14" t="s">
        <v>139</v>
      </c>
      <c r="J10" s="16" t="s">
        <v>139</v>
      </c>
      <c r="K10" s="14">
        <v>0</v>
      </c>
      <c r="L10" s="16">
        <v>0</v>
      </c>
      <c r="M10" s="14">
        <v>0</v>
      </c>
      <c r="N10" s="16">
        <v>0</v>
      </c>
      <c r="O10" s="14">
        <v>0</v>
      </c>
      <c r="P10" s="16">
        <v>0</v>
      </c>
      <c r="Q10" s="14">
        <v>0</v>
      </c>
      <c r="R10" s="16">
        <v>0</v>
      </c>
    </row>
    <row r="11" spans="1:18" x14ac:dyDescent="0.25">
      <c r="A11" s="11" t="s">
        <v>143</v>
      </c>
      <c r="B11" s="13">
        <v>3553</v>
      </c>
      <c r="C11" s="14">
        <f>(3017/B11*100)</f>
        <v>84.914157050379956</v>
      </c>
      <c r="D11" s="15">
        <v>536</v>
      </c>
      <c r="E11" s="14">
        <v>49.498145719999997</v>
      </c>
      <c r="F11" s="16">
        <v>2.7262533900000001</v>
      </c>
      <c r="G11" s="14">
        <v>50.501854280000003</v>
      </c>
      <c r="H11" s="16">
        <v>2.7262533900000001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(2904/B12*100)</f>
        <v>83.640552995391701</v>
      </c>
      <c r="D12" s="15">
        <v>568</v>
      </c>
      <c r="E12" s="14">
        <v>47.128347589999997</v>
      </c>
      <c r="F12" s="16">
        <v>2.6908865799999999</v>
      </c>
      <c r="G12" s="14">
        <v>52.871652410000003</v>
      </c>
      <c r="H12" s="16">
        <v>2.6908865799999999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(3043/B13*100)</f>
        <v>85.50154537791515</v>
      </c>
      <c r="D13" s="15">
        <v>516</v>
      </c>
      <c r="E13" s="14">
        <v>44.180454750000003</v>
      </c>
      <c r="F13" s="16">
        <v>2.6416523000000001</v>
      </c>
      <c r="G13" s="14">
        <v>55.819545249999997</v>
      </c>
      <c r="H13" s="16">
        <v>2.6416523000000001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(2344/B14*100)</f>
        <v>83.744194355126837</v>
      </c>
      <c r="D14" s="15">
        <v>455</v>
      </c>
      <c r="E14" s="14">
        <v>40.254135769999998</v>
      </c>
      <c r="F14" s="16">
        <v>2.4533978300000001</v>
      </c>
      <c r="G14" s="14">
        <v>59.745864230000002</v>
      </c>
      <c r="H14" s="16">
        <v>2.4533978300000001</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(2530/B15*100)</f>
        <v>83.802583636965878</v>
      </c>
      <c r="D15" s="15">
        <v>489</v>
      </c>
      <c r="E15" s="14">
        <v>51.527225280000003</v>
      </c>
      <c r="F15" s="16">
        <v>2.1863242999999999</v>
      </c>
      <c r="G15" s="14">
        <v>48.472774719999997</v>
      </c>
      <c r="H15" s="16">
        <v>2.1863242999999999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(2544/B16*100)</f>
        <v>84.884884884884883</v>
      </c>
      <c r="D16" s="15">
        <v>453</v>
      </c>
      <c r="E16" s="14">
        <v>57.790697629999997</v>
      </c>
      <c r="F16" s="16">
        <v>2.11518914</v>
      </c>
      <c r="G16" s="14">
        <v>42.209302370000003</v>
      </c>
      <c r="H16" s="16">
        <v>2.11518914</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(2830/B17*100)</f>
        <v>85.57605080133051</v>
      </c>
      <c r="D17" s="15">
        <v>477</v>
      </c>
      <c r="E17" s="14">
        <v>43.554780270000002</v>
      </c>
      <c r="F17" s="16">
        <v>2.5566395499999999</v>
      </c>
      <c r="G17" s="14">
        <v>56.445219729999998</v>
      </c>
      <c r="H17" s="16">
        <v>2.5566395499999999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(2365/B18*100)</f>
        <v>83.687190375088463</v>
      </c>
      <c r="D18" s="15">
        <v>461</v>
      </c>
      <c r="E18" s="14">
        <v>58.164757739999999</v>
      </c>
      <c r="F18" s="16">
        <v>2.3813581400000001</v>
      </c>
      <c r="G18" s="14">
        <v>41.835242260000001</v>
      </c>
      <c r="H18" s="16">
        <v>2.3813581400000001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(2376/B19*100)</f>
        <v>84.615384615384613</v>
      </c>
      <c r="D19" s="15">
        <v>432</v>
      </c>
      <c r="E19" s="14">
        <v>62.388507990000001</v>
      </c>
      <c r="F19" s="16">
        <v>2.81569271</v>
      </c>
      <c r="G19" s="14">
        <v>37.611492009999999</v>
      </c>
      <c r="H19" s="16">
        <v>2.81569271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(1376/B20*100)</f>
        <v>84.417177914110425</v>
      </c>
      <c r="D20" s="15">
        <v>254</v>
      </c>
      <c r="E20" s="14">
        <v>49.958921789999998</v>
      </c>
      <c r="F20" s="16">
        <v>2.7388716999999998</v>
      </c>
      <c r="G20" s="14">
        <v>50.041078210000002</v>
      </c>
      <c r="H20" s="16">
        <v>2.7388716999999998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57.282520339999998</v>
      </c>
      <c r="F22" s="16">
        <v>2.7698242799999999</v>
      </c>
      <c r="G22" s="14">
        <v>42.717479660000002</v>
      </c>
      <c r="H22" s="16">
        <v>2.7698242799999999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(4848/B23*100)</f>
        <v>83.716111207045415</v>
      </c>
      <c r="D23" s="15">
        <v>943</v>
      </c>
      <c r="E23" s="14">
        <v>52.266451379999999</v>
      </c>
      <c r="F23" s="16">
        <v>2.0426842299999999</v>
      </c>
      <c r="G23" s="14">
        <v>47.733548620000001</v>
      </c>
      <c r="H23" s="16">
        <v>2.0426842299999999</v>
      </c>
      <c r="I23" s="14" t="s">
        <v>139</v>
      </c>
      <c r="J23" s="16" t="s">
        <v>139</v>
      </c>
      <c r="K23" s="14">
        <v>0</v>
      </c>
      <c r="L23" s="16">
        <v>0</v>
      </c>
      <c r="M23" s="14">
        <v>0</v>
      </c>
      <c r="N23" s="16">
        <v>0</v>
      </c>
      <c r="O23" s="14">
        <v>0</v>
      </c>
      <c r="P23" s="16">
        <v>0</v>
      </c>
      <c r="Q23" s="14">
        <v>0</v>
      </c>
      <c r="R23" s="16">
        <v>0</v>
      </c>
    </row>
    <row r="24" spans="1:18" x14ac:dyDescent="0.25">
      <c r="A24" s="11" t="s">
        <v>157</v>
      </c>
      <c r="B24" s="13">
        <v>3338</v>
      </c>
      <c r="C24" s="14">
        <f>(2797/B24*100)</f>
        <v>83.792690233672857</v>
      </c>
      <c r="D24" s="15">
        <v>541</v>
      </c>
      <c r="E24" s="14">
        <v>45.588698919999999</v>
      </c>
      <c r="F24" s="16">
        <v>1.9457454999999999</v>
      </c>
      <c r="G24" s="14">
        <v>54.411301080000001</v>
      </c>
      <c r="H24" s="16">
        <v>1.9457454999999999</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(2414/B25*100)</f>
        <v>82.89835164835165</v>
      </c>
      <c r="D25" s="15">
        <v>498</v>
      </c>
      <c r="E25" s="14">
        <v>51.056590370000002</v>
      </c>
      <c r="F25" s="16">
        <v>2.0691266499999998</v>
      </c>
      <c r="G25" s="14">
        <v>48.943409629999998</v>
      </c>
      <c r="H25" s="16">
        <v>2.0691266499999998</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(2058/B26*100)</f>
        <v>84</v>
      </c>
      <c r="D26" s="15">
        <v>392</v>
      </c>
      <c r="E26" s="14">
        <v>62.399273039999997</v>
      </c>
      <c r="F26" s="16">
        <v>2.2757499700000001</v>
      </c>
      <c r="G26" s="14">
        <v>37.600726960000003</v>
      </c>
      <c r="H26" s="16">
        <v>2.2757499700000001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(2229/B27*100)</f>
        <v>85.206422018348633</v>
      </c>
      <c r="D27" s="15">
        <v>387</v>
      </c>
      <c r="E27" s="14">
        <v>61.058513339999998</v>
      </c>
      <c r="F27" s="16">
        <v>2.2576996500000002</v>
      </c>
      <c r="G27" s="14">
        <v>38.941486660000002</v>
      </c>
      <c r="H27" s="16">
        <v>2.2576996500000002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(3235/B28*100)</f>
        <v>85.922974767596287</v>
      </c>
      <c r="D28" s="15">
        <v>530</v>
      </c>
      <c r="E28" s="14">
        <v>48.114225560000001</v>
      </c>
      <c r="F28" s="16">
        <v>2.2582671599999999</v>
      </c>
      <c r="G28" s="14">
        <v>51.885774439999999</v>
      </c>
      <c r="H28" s="16">
        <v>2.2582671599999999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54.287367000000003</v>
      </c>
      <c r="F29" s="16">
        <v>2.5711469600000001</v>
      </c>
      <c r="G29" s="14">
        <v>45.712632999999997</v>
      </c>
      <c r="H29" s="16">
        <v>2.5711469600000001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(1921/B30*100)</f>
        <v>84.887317719840922</v>
      </c>
      <c r="D30" s="15">
        <v>342</v>
      </c>
      <c r="E30" s="14">
        <v>41.13862288</v>
      </c>
      <c r="F30" s="16">
        <v>2.99087054</v>
      </c>
      <c r="G30" s="14">
        <v>58.86137712</v>
      </c>
      <c r="H30" s="16">
        <v>2.99087054</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(2318/B31*100)</f>
        <v>84.290909090909096</v>
      </c>
      <c r="D31" s="15">
        <v>432</v>
      </c>
      <c r="E31" s="14">
        <v>48.734434460000003</v>
      </c>
      <c r="F31" s="16">
        <v>2.3158798300000001</v>
      </c>
      <c r="G31" s="14">
        <v>51.265565539999997</v>
      </c>
      <c r="H31" s="16">
        <v>2.3158798300000001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47.619703129999998</v>
      </c>
      <c r="F33" s="16">
        <v>2.4575933000000001</v>
      </c>
      <c r="G33" s="14">
        <v>52.380296870000002</v>
      </c>
      <c r="H33" s="16">
        <v>2.4575933000000001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(2819/B34*100)</f>
        <v>85.037707390648563</v>
      </c>
      <c r="D34" s="15">
        <v>496</v>
      </c>
      <c r="E34" s="14">
        <v>53.481045610000002</v>
      </c>
      <c r="F34" s="16">
        <v>2.2461815500000002</v>
      </c>
      <c r="G34" s="14">
        <v>46.518954389999998</v>
      </c>
      <c r="H34" s="16">
        <v>2.2461815500000002</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(2950/B35*100)</f>
        <v>84.165477888730393</v>
      </c>
      <c r="D35" s="15">
        <v>555</v>
      </c>
      <c r="E35" s="14">
        <v>59.007382440000001</v>
      </c>
      <c r="F35" s="16">
        <v>3.2612836199999999</v>
      </c>
      <c r="G35" s="14">
        <v>40.992617559999999</v>
      </c>
      <c r="H35" s="16">
        <v>3.2612836199999999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(2807/B36*100)</f>
        <v>84.243697478991592</v>
      </c>
      <c r="D36" s="15">
        <v>525</v>
      </c>
      <c r="E36" s="14">
        <v>51.159234580000003</v>
      </c>
      <c r="F36" s="16">
        <v>2.4318289900000001</v>
      </c>
      <c r="G36" s="14">
        <v>48.840765419999997</v>
      </c>
      <c r="H36" s="16">
        <v>2.4318289900000001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(2325/B37*100)</f>
        <v>85.258525852585251</v>
      </c>
      <c r="D37" s="15">
        <v>402</v>
      </c>
      <c r="E37" s="14">
        <v>41.383631209999997</v>
      </c>
      <c r="F37" s="16">
        <v>2.80837081</v>
      </c>
      <c r="G37" s="14">
        <v>58.616368790000003</v>
      </c>
      <c r="H37" s="16">
        <v>2.80837081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60.357586929999997</v>
      </c>
      <c r="F39" s="16">
        <v>2.65319181</v>
      </c>
      <c r="G39" s="14">
        <v>39.642413070000003</v>
      </c>
      <c r="H39" s="16">
        <v>2.65319181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(6051/B40*100)</f>
        <v>83.63510711817554</v>
      </c>
      <c r="D40" s="15">
        <v>1184</v>
      </c>
      <c r="E40" s="14">
        <v>38.377049499999998</v>
      </c>
      <c r="F40" s="16">
        <v>2.1356094099999998</v>
      </c>
      <c r="G40" s="14">
        <v>61.622950500000002</v>
      </c>
      <c r="H40" s="16">
        <v>2.1356094099999998</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(2413/B41*100)</f>
        <v>84.429671098670397</v>
      </c>
      <c r="D41" s="15">
        <v>445</v>
      </c>
      <c r="E41" s="14">
        <v>50.1743691</v>
      </c>
      <c r="F41" s="16">
        <v>2.6462393400000002</v>
      </c>
      <c r="G41" s="14">
        <v>49.8256309</v>
      </c>
      <c r="H41" s="16">
        <v>2.6462393400000002</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50.740893667499996</v>
      </c>
      <c r="F42" s="16">
        <f>IF(COUNT(F7:F41) &gt; 0, SQRT(SUMSQ(F7:F41)/(COUNT(F7:F41)*COUNT(F7:F41)) ), "—")</f>
        <v>0.4323443894553291</v>
      </c>
      <c r="G42" s="14">
        <f>IF(COUNT(G7:G41) &gt; 0, AVERAGE(G7:G41), "—")</f>
        <v>49.259106332500004</v>
      </c>
      <c r="H42" s="16">
        <f>IF(COUNT(H7:H41) &gt; 0, SQRT(SUMSQ(H7:H41)/(COUNT(H7:H41)*COUNT(H7:H41)) ), "—")</f>
        <v>0.4323443894553291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68.232495850000006</v>
      </c>
      <c r="F46" s="16">
        <v>1.6573232099999999</v>
      </c>
      <c r="G46" s="14">
        <v>31.767504150000001</v>
      </c>
      <c r="H46" s="16">
        <v>1.6573232099999999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(2646/B47*100)</f>
        <v>85.217391304347828</v>
      </c>
      <c r="D47" s="15">
        <v>459</v>
      </c>
      <c r="E47" s="14">
        <v>67.078862709999996</v>
      </c>
      <c r="F47" s="16">
        <v>2.1027363499999998</v>
      </c>
      <c r="G47" s="14">
        <v>32.921137289999997</v>
      </c>
      <c r="H47" s="16">
        <v>2.1027363499999998</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(4306/B48*100)</f>
        <v>83.465787943399889</v>
      </c>
      <c r="D48" s="15">
        <v>853</v>
      </c>
      <c r="E48" s="14">
        <v>40.953359589999998</v>
      </c>
      <c r="F48" s="16">
        <v>1.9432500100000001</v>
      </c>
      <c r="G48" s="14">
        <v>59.046640410000002</v>
      </c>
      <c r="H48" s="16">
        <v>1.9432500100000001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49.143920029999997</v>
      </c>
      <c r="F50" s="16">
        <v>2.4824329399999998</v>
      </c>
      <c r="G50" s="14">
        <v>50.856079970000003</v>
      </c>
      <c r="H50" s="16">
        <v>2.4824329399999998</v>
      </c>
      <c r="I50" s="14" t="s">
        <v>139</v>
      </c>
      <c r="J50" s="16" t="s">
        <v>139</v>
      </c>
      <c r="K50" s="14">
        <v>0</v>
      </c>
      <c r="L50" s="16">
        <v>0</v>
      </c>
      <c r="M50" s="14">
        <v>0</v>
      </c>
      <c r="N50" s="16">
        <v>0</v>
      </c>
      <c r="O50" s="14">
        <v>0</v>
      </c>
      <c r="P50" s="16">
        <v>0</v>
      </c>
      <c r="Q50" s="14">
        <v>0</v>
      </c>
      <c r="R50" s="16">
        <v>0</v>
      </c>
    </row>
    <row r="51" spans="1:18" x14ac:dyDescent="0.25">
      <c r="A51" s="11" t="s">
        <v>184</v>
      </c>
      <c r="B51" s="13">
        <v>3372</v>
      </c>
      <c r="C51" s="14">
        <f>(2916/B51*100)</f>
        <v>86.47686832740213</v>
      </c>
      <c r="D51" s="15">
        <v>456</v>
      </c>
      <c r="E51" s="14">
        <v>54.598496879999999</v>
      </c>
      <c r="F51" s="16">
        <v>2.5526999899999998</v>
      </c>
      <c r="G51" s="14">
        <v>45.401503120000001</v>
      </c>
      <c r="H51" s="16">
        <v>2.5526999899999998</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(2369/B52*100)</f>
        <v>84.728183118741057</v>
      </c>
      <c r="D52" s="15">
        <v>427</v>
      </c>
      <c r="E52" s="14">
        <v>63.04683181</v>
      </c>
      <c r="F52" s="16">
        <v>2.6608984900000001</v>
      </c>
      <c r="G52" s="14">
        <v>36.95316819</v>
      </c>
      <c r="H52" s="16">
        <v>2.6608984900000001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(2373/B53*100)</f>
        <v>84.418356456776948</v>
      </c>
      <c r="D53" s="15">
        <v>438</v>
      </c>
      <c r="E53" s="14">
        <v>58.470369650000002</v>
      </c>
      <c r="F53" s="16">
        <v>2.3953609299999998</v>
      </c>
      <c r="G53" s="14">
        <v>41.529630349999998</v>
      </c>
      <c r="H53" s="16">
        <v>2.3953609299999998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39.475600909999997</v>
      </c>
      <c r="F56" s="16">
        <v>2.1921014900000002</v>
      </c>
      <c r="G56" s="14">
        <v>60.524399090000003</v>
      </c>
      <c r="H56" s="16">
        <v>2.1921014900000002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54.84274929</v>
      </c>
      <c r="F61" s="16">
        <v>2.5426077199999999</v>
      </c>
      <c r="G61" s="14">
        <v>45.15725071</v>
      </c>
      <c r="H61" s="16">
        <v>2.5426077199999999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40.882974830000002</v>
      </c>
      <c r="F62" s="16">
        <v>2.67319022</v>
      </c>
      <c r="G62" s="14">
        <v>59.117025169999998</v>
      </c>
      <c r="H62" s="16">
        <v>2.67319022</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68.699577980000001</v>
      </c>
      <c r="F66" s="16">
        <v>2.5920593900000002</v>
      </c>
      <c r="G66" s="14">
        <v>31.300422019999999</v>
      </c>
      <c r="H66" s="16">
        <v>2.5920593900000002</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(3050/B67*100)</f>
        <v>86.869837653090286</v>
      </c>
      <c r="D67" s="15">
        <v>461</v>
      </c>
      <c r="E67" s="14">
        <v>54.053730010000002</v>
      </c>
      <c r="F67" s="16">
        <v>1.98621604</v>
      </c>
      <c r="G67" s="14">
        <v>45.946269989999998</v>
      </c>
      <c r="H67" s="16">
        <v>1.98621604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52.232002510000001</v>
      </c>
      <c r="F70" s="16">
        <v>3.1470841799999998</v>
      </c>
      <c r="G70" s="14">
        <v>47.767997489999999</v>
      </c>
      <c r="H70" s="16">
        <v>3.1470841799999998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46.205389699999998</v>
      </c>
      <c r="F72" s="16">
        <v>2.0442375799999999</v>
      </c>
      <c r="G72" s="14">
        <v>53.794610300000002</v>
      </c>
      <c r="H72" s="16">
        <v>2.0442375799999999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(3056/B73*100)</f>
        <v>84.959688629413392</v>
      </c>
      <c r="D73" s="15">
        <v>541</v>
      </c>
      <c r="E73" s="14">
        <v>60.050236599999998</v>
      </c>
      <c r="F73" s="16">
        <v>3.0063705999999999</v>
      </c>
      <c r="G73" s="14">
        <v>39.949763400000002</v>
      </c>
      <c r="H73" s="16">
        <v>3.0063705999999999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71.658083039999994</v>
      </c>
      <c r="F75" s="16">
        <v>2.3672642499999998</v>
      </c>
      <c r="G75" s="14">
        <v>28.341916959999999</v>
      </c>
      <c r="H75" s="16">
        <v>2.3672642499999998</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59.848159160000002</v>
      </c>
      <c r="F76" s="16">
        <v>1.5983220899999999</v>
      </c>
      <c r="G76" s="14">
        <v>40.151840839999998</v>
      </c>
      <c r="H76" s="16">
        <v>1.5983220899999999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(2508/B77*100)</f>
        <v>86.244841815680886</v>
      </c>
      <c r="D77" s="15">
        <v>400</v>
      </c>
      <c r="E77" s="14">
        <v>60.539280159999997</v>
      </c>
      <c r="F77" s="16">
        <v>2.8017181199999999</v>
      </c>
      <c r="G77" s="14">
        <v>39.460719840000003</v>
      </c>
      <c r="H77" s="16">
        <v>2.8017181199999999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51.097235050000002</v>
      </c>
      <c r="F81" s="16">
        <v>2.73044581</v>
      </c>
      <c r="G81" s="14">
        <v>48.902764949999998</v>
      </c>
      <c r="H81" s="16">
        <v>2.73044581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335</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75.514071209999997</v>
      </c>
      <c r="F7" s="16">
        <v>1.85315947</v>
      </c>
      <c r="G7" s="14">
        <v>24.485928789999999</v>
      </c>
      <c r="H7" s="16">
        <v>1.85315947</v>
      </c>
      <c r="I7" s="14" t="s">
        <v>139</v>
      </c>
      <c r="J7" s="16" t="s">
        <v>139</v>
      </c>
      <c r="K7" s="14">
        <v>0</v>
      </c>
      <c r="L7" s="16">
        <v>0</v>
      </c>
      <c r="M7" s="14">
        <v>0</v>
      </c>
      <c r="N7" s="16">
        <v>0</v>
      </c>
      <c r="O7" s="14">
        <v>0</v>
      </c>
      <c r="P7" s="16">
        <v>0</v>
      </c>
      <c r="Q7" s="14">
        <v>0</v>
      </c>
      <c r="R7" s="16">
        <v>0</v>
      </c>
    </row>
    <row r="8" spans="1:18" x14ac:dyDescent="0.25">
      <c r="A8" s="11" t="s">
        <v>140</v>
      </c>
      <c r="B8" s="13">
        <v>3564</v>
      </c>
      <c r="C8" s="14">
        <f>(3000/B8*100)</f>
        <v>84.17508417508418</v>
      </c>
      <c r="D8" s="15">
        <v>564</v>
      </c>
      <c r="E8" s="14">
        <v>74.143366830000005</v>
      </c>
      <c r="F8" s="16">
        <v>1.9028887699999999</v>
      </c>
      <c r="G8" s="14">
        <v>25.856633169999999</v>
      </c>
      <c r="H8" s="16">
        <v>1.9028887699999999</v>
      </c>
      <c r="I8" s="14" t="s">
        <v>139</v>
      </c>
      <c r="J8" s="16" t="s">
        <v>139</v>
      </c>
      <c r="K8" s="14">
        <v>0</v>
      </c>
      <c r="L8" s="16">
        <v>0</v>
      </c>
      <c r="M8" s="14">
        <v>0</v>
      </c>
      <c r="N8" s="16">
        <v>0</v>
      </c>
      <c r="O8" s="14">
        <v>0</v>
      </c>
      <c r="P8" s="16">
        <v>0</v>
      </c>
      <c r="Q8" s="14">
        <v>0</v>
      </c>
      <c r="R8" s="16">
        <v>0</v>
      </c>
    </row>
    <row r="9" spans="1:18" x14ac:dyDescent="0.25">
      <c r="A9" s="11" t="s">
        <v>141</v>
      </c>
      <c r="B9" s="13">
        <v>4899</v>
      </c>
      <c r="C9" s="14">
        <f>(4175/B9*100)</f>
        <v>85.221473770157175</v>
      </c>
      <c r="D9" s="15">
        <v>724</v>
      </c>
      <c r="E9" s="14">
        <v>81.887415259999997</v>
      </c>
      <c r="F9" s="16">
        <v>1.3871281600000001</v>
      </c>
      <c r="G9" s="14">
        <v>18.112584739999999</v>
      </c>
      <c r="H9" s="16">
        <v>1.3871281600000001</v>
      </c>
      <c r="I9" s="14" t="s">
        <v>139</v>
      </c>
      <c r="J9" s="16" t="s">
        <v>139</v>
      </c>
      <c r="K9" s="14">
        <v>0</v>
      </c>
      <c r="L9" s="16">
        <v>0</v>
      </c>
      <c r="M9" s="14">
        <v>0</v>
      </c>
      <c r="N9" s="16">
        <v>0</v>
      </c>
      <c r="O9" s="14">
        <v>0</v>
      </c>
      <c r="P9" s="16">
        <v>0</v>
      </c>
      <c r="Q9" s="14">
        <v>0</v>
      </c>
      <c r="R9" s="16">
        <v>0</v>
      </c>
    </row>
    <row r="10" spans="1:18" x14ac:dyDescent="0.25">
      <c r="A10" s="11" t="s">
        <v>142</v>
      </c>
      <c r="B10" s="13">
        <v>10036</v>
      </c>
      <c r="C10" s="14">
        <f>(8407/B10*100)</f>
        <v>83.768433638899964</v>
      </c>
      <c r="D10" s="15">
        <v>1629</v>
      </c>
      <c r="E10" s="14">
        <v>75.02214816</v>
      </c>
      <c r="F10" s="16">
        <v>1.46198787</v>
      </c>
      <c r="G10" s="14">
        <v>24.97785184</v>
      </c>
      <c r="H10" s="16">
        <v>1.46198787</v>
      </c>
      <c r="I10" s="14" t="s">
        <v>139</v>
      </c>
      <c r="J10" s="16" t="s">
        <v>139</v>
      </c>
      <c r="K10" s="14">
        <v>0</v>
      </c>
      <c r="L10" s="16">
        <v>0</v>
      </c>
      <c r="M10" s="14">
        <v>0</v>
      </c>
      <c r="N10" s="16">
        <v>0</v>
      </c>
      <c r="O10" s="14">
        <v>0</v>
      </c>
      <c r="P10" s="16">
        <v>0</v>
      </c>
      <c r="Q10" s="14">
        <v>0</v>
      </c>
      <c r="R10" s="16">
        <v>0</v>
      </c>
    </row>
    <row r="11" spans="1:18" x14ac:dyDescent="0.25">
      <c r="A11" s="11" t="s">
        <v>143</v>
      </c>
      <c r="B11" s="13">
        <v>3553</v>
      </c>
      <c r="C11" s="14">
        <f>(3017/B11*100)</f>
        <v>84.914157050379956</v>
      </c>
      <c r="D11" s="15">
        <v>536</v>
      </c>
      <c r="E11" s="14">
        <v>83.229481480000004</v>
      </c>
      <c r="F11" s="16">
        <v>1.8239443099999999</v>
      </c>
      <c r="G11" s="14">
        <v>16.77051852</v>
      </c>
      <c r="H11" s="16">
        <v>1.8239443099999999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(2904/B12*100)</f>
        <v>83.640552995391701</v>
      </c>
      <c r="D12" s="15">
        <v>568</v>
      </c>
      <c r="E12" s="14">
        <v>86.510947009999995</v>
      </c>
      <c r="F12" s="16">
        <v>1.4875452899999999</v>
      </c>
      <c r="G12" s="14">
        <v>13.489052989999999</v>
      </c>
      <c r="H12" s="16">
        <v>1.4875452899999999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(3043/B13*100)</f>
        <v>85.50154537791515</v>
      </c>
      <c r="D13" s="15">
        <v>516</v>
      </c>
      <c r="E13" s="14">
        <v>76.902802019999996</v>
      </c>
      <c r="F13" s="16">
        <v>2.2790038199999998</v>
      </c>
      <c r="G13" s="14">
        <v>23.097197980000001</v>
      </c>
      <c r="H13" s="16">
        <v>2.2790038199999998</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(2344/B14*100)</f>
        <v>83.744194355126837</v>
      </c>
      <c r="D14" s="15">
        <v>455</v>
      </c>
      <c r="E14" s="14">
        <v>81.930222150000006</v>
      </c>
      <c r="F14" s="16">
        <v>2.0164504499999998</v>
      </c>
      <c r="G14" s="14">
        <v>18.069777850000001</v>
      </c>
      <c r="H14" s="16">
        <v>2.0164504499999998</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(2530/B15*100)</f>
        <v>83.802583636965878</v>
      </c>
      <c r="D15" s="15">
        <v>489</v>
      </c>
      <c r="E15" s="14">
        <v>85.440905150000006</v>
      </c>
      <c r="F15" s="16">
        <v>1.4950329200000001</v>
      </c>
      <c r="G15" s="14">
        <v>14.559094849999999</v>
      </c>
      <c r="H15" s="16">
        <v>1.4950329200000001</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(2544/B16*100)</f>
        <v>84.884884884884883</v>
      </c>
      <c r="D16" s="15">
        <v>453</v>
      </c>
      <c r="E16" s="14">
        <v>83.405715889999996</v>
      </c>
      <c r="F16" s="16">
        <v>1.52282506</v>
      </c>
      <c r="G16" s="14">
        <v>16.59428411</v>
      </c>
      <c r="H16" s="16">
        <v>1.52282506</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(2830/B17*100)</f>
        <v>85.57605080133051</v>
      </c>
      <c r="D17" s="15">
        <v>477</v>
      </c>
      <c r="E17" s="14">
        <v>78.384344330000005</v>
      </c>
      <c r="F17" s="16">
        <v>1.7862594199999999</v>
      </c>
      <c r="G17" s="14">
        <v>21.615655669999999</v>
      </c>
      <c r="H17" s="16">
        <v>1.7862594199999999</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(2365/B18*100)</f>
        <v>83.687190375088463</v>
      </c>
      <c r="D18" s="15">
        <v>461</v>
      </c>
      <c r="E18" s="14">
        <v>87.194100270000007</v>
      </c>
      <c r="F18" s="16">
        <v>1.4659720899999999</v>
      </c>
      <c r="G18" s="14">
        <v>12.80589973</v>
      </c>
      <c r="H18" s="16">
        <v>1.4659720899999999</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(2376/B19*100)</f>
        <v>84.615384615384613</v>
      </c>
      <c r="D19" s="15">
        <v>432</v>
      </c>
      <c r="E19" s="14">
        <v>82.397869569999997</v>
      </c>
      <c r="F19" s="16">
        <v>1.9505058</v>
      </c>
      <c r="G19" s="14">
        <v>17.602130429999999</v>
      </c>
      <c r="H19" s="16">
        <v>1.9505058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(1376/B20*100)</f>
        <v>84.417177914110425</v>
      </c>
      <c r="D20" s="15">
        <v>254</v>
      </c>
      <c r="E20" s="14">
        <v>87.306763989999993</v>
      </c>
      <c r="F20" s="16">
        <v>2.0218394700000002</v>
      </c>
      <c r="G20" s="14">
        <v>12.69323601</v>
      </c>
      <c r="H20" s="16">
        <v>2.0218394700000002</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77.794364029999997</v>
      </c>
      <c r="F22" s="16">
        <v>2.2250874899999999</v>
      </c>
      <c r="G22" s="14">
        <v>22.205635969999999</v>
      </c>
      <c r="H22" s="16">
        <v>2.2250874899999999</v>
      </c>
      <c r="I22" s="14" t="s">
        <v>139</v>
      </c>
      <c r="J22" s="16" t="s">
        <v>139</v>
      </c>
      <c r="K22" s="14">
        <v>0</v>
      </c>
      <c r="L22" s="16">
        <v>0</v>
      </c>
      <c r="M22" s="14">
        <v>0</v>
      </c>
      <c r="N22" s="16">
        <v>0</v>
      </c>
      <c r="O22" s="14">
        <v>0</v>
      </c>
      <c r="P22" s="16">
        <v>0</v>
      </c>
      <c r="Q22" s="14">
        <v>0</v>
      </c>
      <c r="R22" s="16">
        <v>0</v>
      </c>
    </row>
    <row r="23" spans="1:18" x14ac:dyDescent="0.25">
      <c r="A23" s="11" t="s">
        <v>156</v>
      </c>
      <c r="B23" s="13">
        <v>5791</v>
      </c>
      <c r="C23" s="14">
        <f>(4848/B23*100)</f>
        <v>83.716111207045415</v>
      </c>
      <c r="D23" s="15">
        <v>943</v>
      </c>
      <c r="E23" s="14">
        <v>81.291824509999998</v>
      </c>
      <c r="F23" s="16">
        <v>1.6928207900000001</v>
      </c>
      <c r="G23" s="14">
        <v>18.708175489999999</v>
      </c>
      <c r="H23" s="16">
        <v>1.6928207900000001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(2797/B24*100)</f>
        <v>83.792690233672857</v>
      </c>
      <c r="D24" s="15">
        <v>541</v>
      </c>
      <c r="E24" s="14">
        <v>79.06354924</v>
      </c>
      <c r="F24" s="16">
        <v>1.94141995</v>
      </c>
      <c r="G24" s="14">
        <v>20.93645076</v>
      </c>
      <c r="H24" s="16">
        <v>1.94141995</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(2414/B25*100)</f>
        <v>82.89835164835165</v>
      </c>
      <c r="D25" s="15">
        <v>498</v>
      </c>
      <c r="E25" s="14">
        <v>76.000577750000005</v>
      </c>
      <c r="F25" s="16">
        <v>1.9742041400000001</v>
      </c>
      <c r="G25" s="14">
        <v>23.999422249999999</v>
      </c>
      <c r="H25" s="16">
        <v>1.9742041400000001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(2058/B26*100)</f>
        <v>84</v>
      </c>
      <c r="D26" s="15">
        <v>392</v>
      </c>
      <c r="E26" s="14">
        <v>87.795989340000006</v>
      </c>
      <c r="F26" s="16">
        <v>1.73220708</v>
      </c>
      <c r="G26" s="14">
        <v>12.20401066</v>
      </c>
      <c r="H26" s="16">
        <v>1.73220708</v>
      </c>
      <c r="I26" s="14" t="s">
        <v>139</v>
      </c>
      <c r="J26" s="16" t="s">
        <v>139</v>
      </c>
      <c r="K26" s="14">
        <v>0</v>
      </c>
      <c r="L26" s="16">
        <v>0</v>
      </c>
      <c r="M26" s="14">
        <v>0</v>
      </c>
      <c r="N26" s="16">
        <v>0</v>
      </c>
      <c r="O26" s="14">
        <v>0</v>
      </c>
      <c r="P26" s="16">
        <v>0</v>
      </c>
      <c r="Q26" s="14">
        <v>0</v>
      </c>
      <c r="R26" s="16">
        <v>0</v>
      </c>
    </row>
    <row r="27" spans="1:18" x14ac:dyDescent="0.25">
      <c r="A27" s="11" t="s">
        <v>160</v>
      </c>
      <c r="B27" s="13">
        <v>2616</v>
      </c>
      <c r="C27" s="14">
        <f>(2229/B27*100)</f>
        <v>85.206422018348633</v>
      </c>
      <c r="D27" s="15">
        <v>387</v>
      </c>
      <c r="E27" s="14">
        <v>80.460190159999996</v>
      </c>
      <c r="F27" s="16">
        <v>2.0329292400000001</v>
      </c>
      <c r="G27" s="14">
        <v>19.53980984</v>
      </c>
      <c r="H27" s="16">
        <v>2.0329292400000001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(3235/B28*100)</f>
        <v>85.922974767596287</v>
      </c>
      <c r="D28" s="15">
        <v>530</v>
      </c>
      <c r="E28" s="14">
        <v>88.676043879999995</v>
      </c>
      <c r="F28" s="16">
        <v>1.4455704199999999</v>
      </c>
      <c r="G28" s="14">
        <v>11.32395612</v>
      </c>
      <c r="H28" s="16">
        <v>1.4455704199999999</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76.788643120000003</v>
      </c>
      <c r="F29" s="16">
        <v>2.0437965999999999</v>
      </c>
      <c r="G29" s="14">
        <v>23.21135688</v>
      </c>
      <c r="H29" s="16">
        <v>2.0437965999999999</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(1921/B30*100)</f>
        <v>84.887317719840922</v>
      </c>
      <c r="D30" s="15">
        <v>342</v>
      </c>
      <c r="E30" s="14">
        <v>77.856006910000005</v>
      </c>
      <c r="F30" s="16">
        <v>2.55659875</v>
      </c>
      <c r="G30" s="14">
        <v>22.143993089999999</v>
      </c>
      <c r="H30" s="16">
        <v>2.55659875</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(2318/B31*100)</f>
        <v>84.290909090909096</v>
      </c>
      <c r="D31" s="15">
        <v>432</v>
      </c>
      <c r="E31" s="14">
        <v>83.273196870000007</v>
      </c>
      <c r="F31" s="16">
        <v>1.8897065900000001</v>
      </c>
      <c r="G31" s="14">
        <v>16.72680313</v>
      </c>
      <c r="H31" s="16">
        <v>1.8897065900000001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79.672652249999999</v>
      </c>
      <c r="F33" s="16">
        <v>1.94819611</v>
      </c>
      <c r="G33" s="14">
        <v>20.327347750000001</v>
      </c>
      <c r="H33" s="16">
        <v>1.94819611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(2819/B34*100)</f>
        <v>85.037707390648563</v>
      </c>
      <c r="D34" s="15">
        <v>496</v>
      </c>
      <c r="E34" s="14">
        <v>83.132961339999994</v>
      </c>
      <c r="F34" s="16">
        <v>1.71764826</v>
      </c>
      <c r="G34" s="14">
        <v>16.867038659999999</v>
      </c>
      <c r="H34" s="16">
        <v>1.71764826</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(2950/B35*100)</f>
        <v>84.165477888730393</v>
      </c>
      <c r="D35" s="15">
        <v>555</v>
      </c>
      <c r="E35" s="14">
        <v>83.946225729999995</v>
      </c>
      <c r="F35" s="16">
        <v>1.8332666799999999</v>
      </c>
      <c r="G35" s="14">
        <v>16.053774270000002</v>
      </c>
      <c r="H35" s="16">
        <v>1.8332666799999999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(2807/B36*100)</f>
        <v>84.243697478991592</v>
      </c>
      <c r="D36" s="15">
        <v>525</v>
      </c>
      <c r="E36" s="14">
        <v>83.059643260000001</v>
      </c>
      <c r="F36" s="16">
        <v>1.2559034200000001</v>
      </c>
      <c r="G36" s="14">
        <v>16.940356739999999</v>
      </c>
      <c r="H36" s="16">
        <v>1.2559034200000001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(2325/B37*100)</f>
        <v>85.258525852585251</v>
      </c>
      <c r="D37" s="15">
        <v>402</v>
      </c>
      <c r="E37" s="14">
        <v>83.49718446</v>
      </c>
      <c r="F37" s="16">
        <v>1.8029850300000001</v>
      </c>
      <c r="G37" s="14">
        <v>16.50281554</v>
      </c>
      <c r="H37" s="16">
        <v>1.8029850300000001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84.462835459999994</v>
      </c>
      <c r="F39" s="16">
        <v>1.71020474</v>
      </c>
      <c r="G39" s="14">
        <v>15.537164539999999</v>
      </c>
      <c r="H39" s="16">
        <v>1.71020474</v>
      </c>
      <c r="I39" s="14" t="s">
        <v>139</v>
      </c>
      <c r="J39" s="16" t="s">
        <v>139</v>
      </c>
      <c r="K39" s="14">
        <v>0</v>
      </c>
      <c r="L39" s="16">
        <v>0</v>
      </c>
      <c r="M39" s="14">
        <v>0</v>
      </c>
      <c r="N39" s="16">
        <v>0</v>
      </c>
      <c r="O39" s="14">
        <v>0</v>
      </c>
      <c r="P39" s="16">
        <v>0</v>
      </c>
      <c r="Q39" s="14">
        <v>0</v>
      </c>
      <c r="R39" s="16">
        <v>0</v>
      </c>
    </row>
    <row r="40" spans="1:18" x14ac:dyDescent="0.25">
      <c r="A40" s="11" t="s">
        <v>173</v>
      </c>
      <c r="B40" s="13">
        <v>7235</v>
      </c>
      <c r="C40" s="14">
        <f>(6051/B40*100)</f>
        <v>83.63510711817554</v>
      </c>
      <c r="D40" s="15">
        <v>1184</v>
      </c>
      <c r="E40" s="14">
        <v>80.61805339</v>
      </c>
      <c r="F40" s="16">
        <v>1.8262831100000001</v>
      </c>
      <c r="G40" s="14">
        <v>19.38194661</v>
      </c>
      <c r="H40" s="16">
        <v>1.8262831100000001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(2413/B41*100)</f>
        <v>84.429671098670397</v>
      </c>
      <c r="D41" s="15">
        <v>445</v>
      </c>
      <c r="E41" s="14">
        <v>75.518133599999999</v>
      </c>
      <c r="F41" s="16">
        <v>2.3819822199999998</v>
      </c>
      <c r="G41" s="14">
        <v>24.481866400000001</v>
      </c>
      <c r="H41" s="16">
        <v>2.3819822199999998</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81.318069644375001</v>
      </c>
      <c r="F42" s="16">
        <f>IF(COUNT(F7:F41) &gt; 0, SQRT(SUMSQ(F7:F41)/(COUNT(F7:F41)*COUNT(F7:F41)) ), "—")</f>
        <v>0.32709905847959431</v>
      </c>
      <c r="G42" s="14">
        <f>IF(COUNT(G7:G41) &gt; 0, AVERAGE(G7:G41), "—")</f>
        <v>18.681930355624999</v>
      </c>
      <c r="H42" s="16">
        <f>IF(COUNT(H7:H41) &gt; 0, SQRT(SUMSQ(H7:H41)/(COUNT(H7:H41)*COUNT(H7:H41)) ), "—")</f>
        <v>0.32709905847959431</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83.080197720000001</v>
      </c>
      <c r="F46" s="16">
        <v>1.5723801100000001</v>
      </c>
      <c r="G46" s="14">
        <v>16.919802279999999</v>
      </c>
      <c r="H46" s="16">
        <v>1.5723801100000001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(2646/B47*100)</f>
        <v>85.217391304347828</v>
      </c>
      <c r="D47" s="15">
        <v>459</v>
      </c>
      <c r="E47" s="14">
        <v>85.095180790000001</v>
      </c>
      <c r="F47" s="16">
        <v>1.67658251</v>
      </c>
      <c r="G47" s="14">
        <v>14.904819209999999</v>
      </c>
      <c r="H47" s="16">
        <v>1.67658251</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(4306/B48*100)</f>
        <v>83.465787943399889</v>
      </c>
      <c r="D48" s="15">
        <v>853</v>
      </c>
      <c r="E48" s="14">
        <v>76.48284778</v>
      </c>
      <c r="F48" s="16">
        <v>1.940785</v>
      </c>
      <c r="G48" s="14">
        <v>23.51715222</v>
      </c>
      <c r="H48" s="16">
        <v>1.940785</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88.306037869999997</v>
      </c>
      <c r="F50" s="16">
        <v>1.4773804699999999</v>
      </c>
      <c r="G50" s="14">
        <v>11.693962129999999</v>
      </c>
      <c r="H50" s="16">
        <v>1.4773804699999999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(2916/B51*100)</f>
        <v>86.47686832740213</v>
      </c>
      <c r="D51" s="15">
        <v>456</v>
      </c>
      <c r="E51" s="14">
        <v>86.403208219999996</v>
      </c>
      <c r="F51" s="16">
        <v>1.52994176</v>
      </c>
      <c r="G51" s="14">
        <v>13.59679178</v>
      </c>
      <c r="H51" s="16">
        <v>1.52994176</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(2369/B52*100)</f>
        <v>84.728183118741057</v>
      </c>
      <c r="D52" s="15">
        <v>427</v>
      </c>
      <c r="E52" s="14">
        <v>86.595901330000004</v>
      </c>
      <c r="F52" s="16">
        <v>1.5541598400000001</v>
      </c>
      <c r="G52" s="14">
        <v>13.40409867</v>
      </c>
      <c r="H52" s="16">
        <v>1.5541598400000001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(2373/B53*100)</f>
        <v>84.418356456776948</v>
      </c>
      <c r="D53" s="15">
        <v>438</v>
      </c>
      <c r="E53" s="14">
        <v>78.594152919999999</v>
      </c>
      <c r="F53" s="16">
        <v>2.0620021199999998</v>
      </c>
      <c r="G53" s="14">
        <v>21.405847080000001</v>
      </c>
      <c r="H53" s="16">
        <v>2.0620021199999998</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86.534489579999999</v>
      </c>
      <c r="F61" s="16">
        <v>1.4464070600000001</v>
      </c>
      <c r="G61" s="14">
        <v>13.465510419999999</v>
      </c>
      <c r="H61" s="16">
        <v>1.4464070600000001</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73.243153809999995</v>
      </c>
      <c r="F62" s="16">
        <v>2.2043481300000001</v>
      </c>
      <c r="G62" s="14">
        <v>26.756846190000001</v>
      </c>
      <c r="H62" s="16">
        <v>2.2043481300000001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85.159598470000006</v>
      </c>
      <c r="F66" s="16">
        <v>1.76801561</v>
      </c>
      <c r="G66" s="14">
        <v>14.840401529999999</v>
      </c>
      <c r="H66" s="16">
        <v>1.76801561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(3050/B67*100)</f>
        <v>86.869837653090286</v>
      </c>
      <c r="D67" s="15">
        <v>461</v>
      </c>
      <c r="E67" s="14">
        <v>87.918674170000003</v>
      </c>
      <c r="F67" s="16">
        <v>1.4824104</v>
      </c>
      <c r="G67" s="14">
        <v>12.081325830000001</v>
      </c>
      <c r="H67" s="16">
        <v>1.4824104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85.049903400000005</v>
      </c>
      <c r="F70" s="16">
        <v>1.7721282</v>
      </c>
      <c r="G70" s="14">
        <v>14.9500966</v>
      </c>
      <c r="H70" s="16">
        <v>1.7721282</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79.808715719999995</v>
      </c>
      <c r="F72" s="16">
        <v>1.4396362899999999</v>
      </c>
      <c r="G72" s="14">
        <v>20.191284280000001</v>
      </c>
      <c r="H72" s="16">
        <v>1.4396362899999999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(3056/B73*100)</f>
        <v>84.959688629413392</v>
      </c>
      <c r="D73" s="15">
        <v>541</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85.436629199999999</v>
      </c>
      <c r="F75" s="16">
        <v>2.20446052</v>
      </c>
      <c r="G75" s="14">
        <v>14.5633708</v>
      </c>
      <c r="H75" s="16">
        <v>2.20446052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83.009222100000002</v>
      </c>
      <c r="F76" s="16">
        <v>1.38398759</v>
      </c>
      <c r="G76" s="14">
        <v>16.990777900000001</v>
      </c>
      <c r="H76" s="16">
        <v>1.38398759</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(2508/B77*100)</f>
        <v>86.244841815680886</v>
      </c>
      <c r="D77" s="15">
        <v>400</v>
      </c>
      <c r="E77" s="14">
        <v>82.880388760000002</v>
      </c>
      <c r="F77" s="16">
        <v>2.1759498900000001</v>
      </c>
      <c r="G77" s="14">
        <v>17.119611240000001</v>
      </c>
      <c r="H77" s="16">
        <v>2.1759498900000001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74.498450020000007</v>
      </c>
      <c r="F81" s="16">
        <v>1.99975228</v>
      </c>
      <c r="G81" s="14">
        <v>25.50154998</v>
      </c>
      <c r="H81" s="16">
        <v>1.99975228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336</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32.694173550000002</v>
      </c>
      <c r="F7" s="16">
        <v>1.71025187</v>
      </c>
      <c r="G7" s="14">
        <v>67.305826449999998</v>
      </c>
      <c r="H7" s="16">
        <v>1.71025187</v>
      </c>
      <c r="I7" s="14" t="s">
        <v>139</v>
      </c>
      <c r="J7" s="16" t="s">
        <v>139</v>
      </c>
      <c r="K7" s="14">
        <v>0</v>
      </c>
      <c r="L7" s="16">
        <v>0</v>
      </c>
      <c r="M7" s="14">
        <v>0</v>
      </c>
      <c r="N7" s="16">
        <v>0</v>
      </c>
      <c r="O7" s="14">
        <v>0</v>
      </c>
      <c r="P7" s="16">
        <v>0</v>
      </c>
      <c r="Q7" s="14">
        <v>0</v>
      </c>
      <c r="R7" s="16">
        <v>0</v>
      </c>
    </row>
    <row r="8" spans="1:18" x14ac:dyDescent="0.25">
      <c r="A8" s="11" t="s">
        <v>140</v>
      </c>
      <c r="B8" s="13">
        <v>3564</v>
      </c>
      <c r="C8" s="14">
        <f>(3000/B8*100)</f>
        <v>84.17508417508418</v>
      </c>
      <c r="D8" s="15">
        <v>564</v>
      </c>
      <c r="E8" s="14">
        <v>34.344321190000002</v>
      </c>
      <c r="F8" s="16">
        <v>2.1205909300000001</v>
      </c>
      <c r="G8" s="14">
        <v>65.655678809999998</v>
      </c>
      <c r="H8" s="16">
        <v>2.1205909300000001</v>
      </c>
      <c r="I8" s="14" t="s">
        <v>139</v>
      </c>
      <c r="J8" s="16" t="s">
        <v>139</v>
      </c>
      <c r="K8" s="14">
        <v>0</v>
      </c>
      <c r="L8" s="16">
        <v>0</v>
      </c>
      <c r="M8" s="14">
        <v>0</v>
      </c>
      <c r="N8" s="16">
        <v>0</v>
      </c>
      <c r="O8" s="14">
        <v>0</v>
      </c>
      <c r="P8" s="16">
        <v>0</v>
      </c>
      <c r="Q8" s="14">
        <v>0</v>
      </c>
      <c r="R8" s="16">
        <v>0</v>
      </c>
    </row>
    <row r="9" spans="1:18" x14ac:dyDescent="0.25">
      <c r="A9" s="11" t="s">
        <v>141</v>
      </c>
      <c r="B9" s="13">
        <v>4899</v>
      </c>
      <c r="C9" s="14">
        <f>(4175/B9*100)</f>
        <v>85.221473770157175</v>
      </c>
      <c r="D9" s="15">
        <v>724</v>
      </c>
      <c r="E9" s="14">
        <v>38.222772409999997</v>
      </c>
      <c r="F9" s="16">
        <v>1.8069082599999999</v>
      </c>
      <c r="G9" s="14">
        <v>61.777227590000003</v>
      </c>
      <c r="H9" s="16">
        <v>1.8069082599999999</v>
      </c>
      <c r="I9" s="14" t="s">
        <v>139</v>
      </c>
      <c r="J9" s="16" t="s">
        <v>139</v>
      </c>
      <c r="K9" s="14">
        <v>0</v>
      </c>
      <c r="L9" s="16">
        <v>0</v>
      </c>
      <c r="M9" s="14">
        <v>0</v>
      </c>
      <c r="N9" s="16">
        <v>0</v>
      </c>
      <c r="O9" s="14">
        <v>0</v>
      </c>
      <c r="P9" s="16">
        <v>0</v>
      </c>
      <c r="Q9" s="14">
        <v>0</v>
      </c>
      <c r="R9" s="16">
        <v>0</v>
      </c>
    </row>
    <row r="10" spans="1:18" x14ac:dyDescent="0.25">
      <c r="A10" s="11" t="s">
        <v>142</v>
      </c>
      <c r="B10" s="13">
        <v>10036</v>
      </c>
      <c r="C10" s="14">
        <f>(8407/B10*100)</f>
        <v>83.768433638899964</v>
      </c>
      <c r="D10" s="15">
        <v>1629</v>
      </c>
      <c r="E10" s="14">
        <v>30.335505919999999</v>
      </c>
      <c r="F10" s="16">
        <v>1.42790076</v>
      </c>
      <c r="G10" s="14">
        <v>69.664494079999997</v>
      </c>
      <c r="H10" s="16">
        <v>1.42790076</v>
      </c>
      <c r="I10" s="14" t="s">
        <v>139</v>
      </c>
      <c r="J10" s="16" t="s">
        <v>139</v>
      </c>
      <c r="K10" s="14">
        <v>0</v>
      </c>
      <c r="L10" s="16">
        <v>0</v>
      </c>
      <c r="M10" s="14">
        <v>0</v>
      </c>
      <c r="N10" s="16">
        <v>0</v>
      </c>
      <c r="O10" s="14">
        <v>0</v>
      </c>
      <c r="P10" s="16">
        <v>0</v>
      </c>
      <c r="Q10" s="14">
        <v>0</v>
      </c>
      <c r="R10" s="16">
        <v>0</v>
      </c>
    </row>
    <row r="11" spans="1:18" x14ac:dyDescent="0.25">
      <c r="A11" s="11" t="s">
        <v>143</v>
      </c>
      <c r="B11" s="13">
        <v>3553</v>
      </c>
      <c r="C11" s="14">
        <f>(3017/B11*100)</f>
        <v>84.914157050379956</v>
      </c>
      <c r="D11" s="15">
        <v>536</v>
      </c>
      <c r="E11" s="14">
        <v>45.060559130000001</v>
      </c>
      <c r="F11" s="16">
        <v>2.5861785500000001</v>
      </c>
      <c r="G11" s="14">
        <v>54.939440869999999</v>
      </c>
      <c r="H11" s="16">
        <v>2.5861785500000001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(2904/B12*100)</f>
        <v>83.640552995391701</v>
      </c>
      <c r="D12" s="15">
        <v>568</v>
      </c>
      <c r="E12" s="14">
        <v>28.191817610000001</v>
      </c>
      <c r="F12" s="16">
        <v>2.1906153499999999</v>
      </c>
      <c r="G12" s="14">
        <v>71.808182389999999</v>
      </c>
      <c r="H12" s="16">
        <v>2.1906153499999999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(3043/B13*100)</f>
        <v>85.50154537791515</v>
      </c>
      <c r="D13" s="15">
        <v>516</v>
      </c>
      <c r="E13" s="14">
        <v>28.6691486</v>
      </c>
      <c r="F13" s="16">
        <v>2.4037540100000001</v>
      </c>
      <c r="G13" s="14">
        <v>71.3308514</v>
      </c>
      <c r="H13" s="16">
        <v>2.4037540100000001</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(2344/B14*100)</f>
        <v>83.744194355126837</v>
      </c>
      <c r="D14" s="15">
        <v>455</v>
      </c>
      <c r="E14" s="14">
        <v>29.47964451</v>
      </c>
      <c r="F14" s="16">
        <v>2.0099713399999999</v>
      </c>
      <c r="G14" s="14">
        <v>70.52035549</v>
      </c>
      <c r="H14" s="16">
        <v>2.0099713399999999</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(2530/B15*100)</f>
        <v>83.802583636965878</v>
      </c>
      <c r="D15" s="15">
        <v>489</v>
      </c>
      <c r="E15" s="14">
        <v>26.08448903</v>
      </c>
      <c r="F15" s="16">
        <v>2.4843872199999999</v>
      </c>
      <c r="G15" s="14">
        <v>73.91551097</v>
      </c>
      <c r="H15" s="16">
        <v>2.4843872199999999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(2544/B16*100)</f>
        <v>84.884884884884883</v>
      </c>
      <c r="D16" s="15">
        <v>453</v>
      </c>
      <c r="E16" s="14">
        <v>41.830161820000001</v>
      </c>
      <c r="F16" s="16">
        <v>2.2017108900000002</v>
      </c>
      <c r="G16" s="14">
        <v>58.169838179999999</v>
      </c>
      <c r="H16" s="16">
        <v>2.2017108900000002</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(2830/B17*100)</f>
        <v>85.57605080133051</v>
      </c>
      <c r="D17" s="15">
        <v>477</v>
      </c>
      <c r="E17" s="14">
        <v>37.307994000000001</v>
      </c>
      <c r="F17" s="16">
        <v>2.60240962</v>
      </c>
      <c r="G17" s="14">
        <v>62.692005999999999</v>
      </c>
      <c r="H17" s="16">
        <v>2.60240962</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(2365/B18*100)</f>
        <v>83.687190375088463</v>
      </c>
      <c r="D18" s="15">
        <v>461</v>
      </c>
      <c r="E18" s="14">
        <v>48.972579920000001</v>
      </c>
      <c r="F18" s="16">
        <v>2.4466833499999998</v>
      </c>
      <c r="G18" s="14">
        <v>51.027420079999999</v>
      </c>
      <c r="H18" s="16">
        <v>2.4466833499999998</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(2376/B19*100)</f>
        <v>84.615384615384613</v>
      </c>
      <c r="D19" s="15">
        <v>432</v>
      </c>
      <c r="E19" s="14">
        <v>44.69973676</v>
      </c>
      <c r="F19" s="16">
        <v>3.16902251</v>
      </c>
      <c r="G19" s="14">
        <v>55.30026324</v>
      </c>
      <c r="H19" s="16">
        <v>3.16902251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(1376/B20*100)</f>
        <v>84.417177914110425</v>
      </c>
      <c r="D20" s="15">
        <v>254</v>
      </c>
      <c r="E20" s="14">
        <v>38.007020590000003</v>
      </c>
      <c r="F20" s="16">
        <v>3.0744642299999998</v>
      </c>
      <c r="G20" s="14">
        <v>61.992979409999997</v>
      </c>
      <c r="H20" s="16">
        <v>3.0744642299999998</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45.827261300000004</v>
      </c>
      <c r="F22" s="16">
        <v>2.4156012800000002</v>
      </c>
      <c r="G22" s="14">
        <v>54.172738699999996</v>
      </c>
      <c r="H22" s="16">
        <v>2.4156012800000002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(4848/B23*100)</f>
        <v>83.716111207045415</v>
      </c>
      <c r="D23" s="15">
        <v>943</v>
      </c>
      <c r="E23" s="14">
        <v>49.468019820000002</v>
      </c>
      <c r="F23" s="16">
        <v>2.26496845</v>
      </c>
      <c r="G23" s="14">
        <v>50.531980179999998</v>
      </c>
      <c r="H23" s="16">
        <v>2.26496845</v>
      </c>
      <c r="I23" s="14" t="s">
        <v>139</v>
      </c>
      <c r="J23" s="16" t="s">
        <v>139</v>
      </c>
      <c r="K23" s="14">
        <v>0</v>
      </c>
      <c r="L23" s="16">
        <v>0</v>
      </c>
      <c r="M23" s="14">
        <v>0</v>
      </c>
      <c r="N23" s="16">
        <v>0</v>
      </c>
      <c r="O23" s="14">
        <v>0</v>
      </c>
      <c r="P23" s="16">
        <v>0</v>
      </c>
      <c r="Q23" s="14">
        <v>0</v>
      </c>
      <c r="R23" s="16">
        <v>0</v>
      </c>
    </row>
    <row r="24" spans="1:18" x14ac:dyDescent="0.25">
      <c r="A24" s="11" t="s">
        <v>157</v>
      </c>
      <c r="B24" s="13">
        <v>3338</v>
      </c>
      <c r="C24" s="14">
        <f>(2797/B24*100)</f>
        <v>83.792690233672857</v>
      </c>
      <c r="D24" s="15">
        <v>541</v>
      </c>
      <c r="E24" s="14">
        <v>12.732564460000001</v>
      </c>
      <c r="F24" s="16">
        <v>1.5823677700000001</v>
      </c>
      <c r="G24" s="14">
        <v>87.267435539999994</v>
      </c>
      <c r="H24" s="16">
        <v>1.5823677700000001</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(2414/B25*100)</f>
        <v>82.89835164835165</v>
      </c>
      <c r="D25" s="15">
        <v>498</v>
      </c>
      <c r="E25" s="14">
        <v>26.748005379999999</v>
      </c>
      <c r="F25" s="16">
        <v>1.9113149700000001</v>
      </c>
      <c r="G25" s="14">
        <v>73.251994620000005</v>
      </c>
      <c r="H25" s="16">
        <v>1.9113149700000001</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(2058/B26*100)</f>
        <v>84</v>
      </c>
      <c r="D26" s="15">
        <v>392</v>
      </c>
      <c r="E26" s="14">
        <v>48.712049559999997</v>
      </c>
      <c r="F26" s="16">
        <v>2.7155855999999998</v>
      </c>
      <c r="G26" s="14">
        <v>51.287950440000003</v>
      </c>
      <c r="H26" s="16">
        <v>2.7155855999999998</v>
      </c>
      <c r="I26" s="14" t="s">
        <v>139</v>
      </c>
      <c r="J26" s="16" t="s">
        <v>139</v>
      </c>
      <c r="K26" s="14">
        <v>0</v>
      </c>
      <c r="L26" s="16">
        <v>0</v>
      </c>
      <c r="M26" s="14">
        <v>0</v>
      </c>
      <c r="N26" s="16">
        <v>0</v>
      </c>
      <c r="O26" s="14">
        <v>0</v>
      </c>
      <c r="P26" s="16">
        <v>0</v>
      </c>
      <c r="Q26" s="14">
        <v>0</v>
      </c>
      <c r="R26" s="16">
        <v>0</v>
      </c>
    </row>
    <row r="27" spans="1:18" x14ac:dyDescent="0.25">
      <c r="A27" s="11" t="s">
        <v>160</v>
      </c>
      <c r="B27" s="13">
        <v>2616</v>
      </c>
      <c r="C27" s="14">
        <f>(2229/B27*100)</f>
        <v>85.206422018348633</v>
      </c>
      <c r="D27" s="15">
        <v>387</v>
      </c>
      <c r="E27" s="14">
        <v>39.715664949999997</v>
      </c>
      <c r="F27" s="16">
        <v>3.0984335500000002</v>
      </c>
      <c r="G27" s="14">
        <v>60.284335050000003</v>
      </c>
      <c r="H27" s="16">
        <v>3.0984335500000002</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(3235/B28*100)</f>
        <v>85.922974767596287</v>
      </c>
      <c r="D28" s="15">
        <v>530</v>
      </c>
      <c r="E28" s="14">
        <v>45.839558439999998</v>
      </c>
      <c r="F28" s="16">
        <v>2.1998959500000002</v>
      </c>
      <c r="G28" s="14">
        <v>54.160441560000002</v>
      </c>
      <c r="H28" s="16">
        <v>2.1998959500000002</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32.480534400000003</v>
      </c>
      <c r="F29" s="16">
        <v>2.2329468100000001</v>
      </c>
      <c r="G29" s="14">
        <v>67.519465600000004</v>
      </c>
      <c r="H29" s="16">
        <v>2.2329468100000001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(1921/B30*100)</f>
        <v>84.887317719840922</v>
      </c>
      <c r="D30" s="15">
        <v>342</v>
      </c>
      <c r="E30" s="14">
        <v>32.040666309999999</v>
      </c>
      <c r="F30" s="16">
        <v>2.6419687600000001</v>
      </c>
      <c r="G30" s="14">
        <v>67.959333689999994</v>
      </c>
      <c r="H30" s="16">
        <v>2.6419687600000001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(2318/B31*100)</f>
        <v>84.290909090909096</v>
      </c>
      <c r="D31" s="15">
        <v>432</v>
      </c>
      <c r="E31" s="14">
        <v>41.353050609999997</v>
      </c>
      <c r="F31" s="16">
        <v>2.4750572100000001</v>
      </c>
      <c r="G31" s="14">
        <v>58.646949390000003</v>
      </c>
      <c r="H31" s="16">
        <v>2.4750572100000001</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36.848430960000002</v>
      </c>
      <c r="F33" s="16">
        <v>2.28164246</v>
      </c>
      <c r="G33" s="14">
        <v>63.151569039999998</v>
      </c>
      <c r="H33" s="16">
        <v>2.28164246</v>
      </c>
      <c r="I33" s="14" t="s">
        <v>139</v>
      </c>
      <c r="J33" s="16" t="s">
        <v>139</v>
      </c>
      <c r="K33" s="14">
        <v>0</v>
      </c>
      <c r="L33" s="16">
        <v>0</v>
      </c>
      <c r="M33" s="14">
        <v>0</v>
      </c>
      <c r="N33" s="16">
        <v>0</v>
      </c>
      <c r="O33" s="14">
        <v>0</v>
      </c>
      <c r="P33" s="16">
        <v>0</v>
      </c>
      <c r="Q33" s="14">
        <v>0</v>
      </c>
      <c r="R33" s="16">
        <v>0</v>
      </c>
    </row>
    <row r="34" spans="1:18" x14ac:dyDescent="0.25">
      <c r="A34" s="11" t="s">
        <v>167</v>
      </c>
      <c r="B34" s="13">
        <v>3315</v>
      </c>
      <c r="C34" s="14">
        <f>(2819/B34*100)</f>
        <v>85.037707390648563</v>
      </c>
      <c r="D34" s="15">
        <v>496</v>
      </c>
      <c r="E34" s="14">
        <v>52.867400279999998</v>
      </c>
      <c r="F34" s="16">
        <v>2.1806750400000001</v>
      </c>
      <c r="G34" s="14">
        <v>47.132599720000002</v>
      </c>
      <c r="H34" s="16">
        <v>2.1806750400000001</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(2950/B35*100)</f>
        <v>84.165477888730393</v>
      </c>
      <c r="D35" s="15">
        <v>555</v>
      </c>
      <c r="E35" s="14">
        <v>40.412587289999998</v>
      </c>
      <c r="F35" s="16">
        <v>2.32143619</v>
      </c>
      <c r="G35" s="14">
        <v>59.587412710000002</v>
      </c>
      <c r="H35" s="16">
        <v>2.32143619</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(2807/B36*100)</f>
        <v>84.243697478991592</v>
      </c>
      <c r="D36" s="15">
        <v>525</v>
      </c>
      <c r="E36" s="14">
        <v>37.617369750000002</v>
      </c>
      <c r="F36" s="16">
        <v>1.8362294100000001</v>
      </c>
      <c r="G36" s="14">
        <v>62.382630249999998</v>
      </c>
      <c r="H36" s="16">
        <v>1.8362294100000001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(2325/B37*100)</f>
        <v>85.258525852585251</v>
      </c>
      <c r="D37" s="15">
        <v>402</v>
      </c>
      <c r="E37" s="14">
        <v>33.261252499999998</v>
      </c>
      <c r="F37" s="16">
        <v>2.1823473600000001</v>
      </c>
      <c r="G37" s="14">
        <v>66.738747500000002</v>
      </c>
      <c r="H37" s="16">
        <v>2.1823473600000001</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40.583276939999998</v>
      </c>
      <c r="F39" s="16">
        <v>2.63410447</v>
      </c>
      <c r="G39" s="14">
        <v>59.416723060000002</v>
      </c>
      <c r="H39" s="16">
        <v>2.63410447</v>
      </c>
      <c r="I39" s="14" t="s">
        <v>139</v>
      </c>
      <c r="J39" s="16" t="s">
        <v>139</v>
      </c>
      <c r="K39" s="14">
        <v>0</v>
      </c>
      <c r="L39" s="16">
        <v>0</v>
      </c>
      <c r="M39" s="14">
        <v>0</v>
      </c>
      <c r="N39" s="16">
        <v>0</v>
      </c>
      <c r="O39" s="14">
        <v>0</v>
      </c>
      <c r="P39" s="16">
        <v>0</v>
      </c>
      <c r="Q39" s="14">
        <v>0</v>
      </c>
      <c r="R39" s="16">
        <v>0</v>
      </c>
    </row>
    <row r="40" spans="1:18" x14ac:dyDescent="0.25">
      <c r="A40" s="11" t="s">
        <v>173</v>
      </c>
      <c r="B40" s="13">
        <v>7235</v>
      </c>
      <c r="C40" s="14">
        <f>(6051/B40*100)</f>
        <v>83.63510711817554</v>
      </c>
      <c r="D40" s="15">
        <v>1184</v>
      </c>
      <c r="E40" s="14">
        <v>33.109452349999998</v>
      </c>
      <c r="F40" s="16">
        <v>2.15393634</v>
      </c>
      <c r="G40" s="14">
        <v>66.890547650000002</v>
      </c>
      <c r="H40" s="16">
        <v>2.15393634</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(2413/B41*100)</f>
        <v>84.429671098670397</v>
      </c>
      <c r="D41" s="15">
        <v>445</v>
      </c>
      <c r="E41" s="14">
        <v>28.448549679999999</v>
      </c>
      <c r="F41" s="16">
        <v>2.3452433799999999</v>
      </c>
      <c r="G41" s="14">
        <v>71.551450320000001</v>
      </c>
      <c r="H41" s="16">
        <v>2.3452433799999999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36.936425625624999</v>
      </c>
      <c r="F42" s="16">
        <f>IF(COUNT(F7:F41) &gt; 0, SQRT(SUMSQ(F7:F41)/(COUNT(F7:F41)*COUNT(F7:F41)) ), "—")</f>
        <v>0.41327528259562429</v>
      </c>
      <c r="G42" s="14">
        <f>IF(COUNT(G7:G41) &gt; 0, AVERAGE(G7:G41), "—")</f>
        <v>63.063574374374994</v>
      </c>
      <c r="H42" s="16">
        <f>IF(COUNT(H7:H41) &gt; 0, SQRT(SUMSQ(H7:H41)/(COUNT(H7:H41)*COUNT(H7:H41)) ), "—")</f>
        <v>0.41327528259562429</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53.185888519999999</v>
      </c>
      <c r="F46" s="16">
        <v>1.7085011000000001</v>
      </c>
      <c r="G46" s="14">
        <v>46.814111480000001</v>
      </c>
      <c r="H46" s="16">
        <v>1.7085011000000001</v>
      </c>
      <c r="I46" s="14" t="s">
        <v>139</v>
      </c>
      <c r="J46" s="16" t="s">
        <v>139</v>
      </c>
      <c r="K46" s="14">
        <v>0</v>
      </c>
      <c r="L46" s="16">
        <v>0</v>
      </c>
      <c r="M46" s="14">
        <v>0</v>
      </c>
      <c r="N46" s="16">
        <v>0</v>
      </c>
      <c r="O46" s="14">
        <v>0</v>
      </c>
      <c r="P46" s="16">
        <v>0</v>
      </c>
      <c r="Q46" s="14">
        <v>0</v>
      </c>
      <c r="R46" s="16">
        <v>0</v>
      </c>
    </row>
    <row r="47" spans="1:18" x14ac:dyDescent="0.25">
      <c r="A47" s="11" t="s">
        <v>180</v>
      </c>
      <c r="B47" s="13">
        <v>3105</v>
      </c>
      <c r="C47" s="14">
        <f>(2646/B47*100)</f>
        <v>85.217391304347828</v>
      </c>
      <c r="D47" s="15">
        <v>459</v>
      </c>
      <c r="E47" s="14">
        <v>45.452842539999999</v>
      </c>
      <c r="F47" s="16">
        <v>2.9094512300000002</v>
      </c>
      <c r="G47" s="14">
        <v>54.547157460000001</v>
      </c>
      <c r="H47" s="16">
        <v>2.9094512300000002</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(4306/B48*100)</f>
        <v>83.465787943399889</v>
      </c>
      <c r="D48" s="15">
        <v>853</v>
      </c>
      <c r="E48" s="14">
        <v>38.021566870000001</v>
      </c>
      <c r="F48" s="16">
        <v>2.2579705900000002</v>
      </c>
      <c r="G48" s="14">
        <v>61.978433129999999</v>
      </c>
      <c r="H48" s="16">
        <v>2.2579705900000002</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45.309486190000001</v>
      </c>
      <c r="F50" s="16">
        <v>2.47523662</v>
      </c>
      <c r="G50" s="14">
        <v>54.690513809999999</v>
      </c>
      <c r="H50" s="16">
        <v>2.47523662</v>
      </c>
      <c r="I50" s="14" t="s">
        <v>139</v>
      </c>
      <c r="J50" s="16" t="s">
        <v>139</v>
      </c>
      <c r="K50" s="14">
        <v>0</v>
      </c>
      <c r="L50" s="16">
        <v>0</v>
      </c>
      <c r="M50" s="14">
        <v>0</v>
      </c>
      <c r="N50" s="16">
        <v>0</v>
      </c>
      <c r="O50" s="14">
        <v>0</v>
      </c>
      <c r="P50" s="16">
        <v>0</v>
      </c>
      <c r="Q50" s="14">
        <v>0</v>
      </c>
      <c r="R50" s="16">
        <v>0</v>
      </c>
    </row>
    <row r="51" spans="1:18" x14ac:dyDescent="0.25">
      <c r="A51" s="11" t="s">
        <v>184</v>
      </c>
      <c r="B51" s="13">
        <v>3372</v>
      </c>
      <c r="C51" s="14">
        <f>(2916/B51*100)</f>
        <v>86.47686832740213</v>
      </c>
      <c r="D51" s="15">
        <v>456</v>
      </c>
      <c r="E51" s="14">
        <v>48.540766939999997</v>
      </c>
      <c r="F51" s="16">
        <v>2.7949936900000001</v>
      </c>
      <c r="G51" s="14">
        <v>51.459233060000003</v>
      </c>
      <c r="H51" s="16">
        <v>2.7949936900000001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(2369/B52*100)</f>
        <v>84.728183118741057</v>
      </c>
      <c r="D52" s="15">
        <v>427</v>
      </c>
      <c r="E52" s="14">
        <v>38.341453450000003</v>
      </c>
      <c r="F52" s="16">
        <v>2.6032946199999998</v>
      </c>
      <c r="G52" s="14">
        <v>61.658546549999997</v>
      </c>
      <c r="H52" s="16">
        <v>2.6032946199999998</v>
      </c>
      <c r="I52" s="14" t="s">
        <v>139</v>
      </c>
      <c r="J52" s="16" t="s">
        <v>139</v>
      </c>
      <c r="K52" s="14">
        <v>0</v>
      </c>
      <c r="L52" s="16">
        <v>0</v>
      </c>
      <c r="M52" s="14">
        <v>0</v>
      </c>
      <c r="N52" s="16">
        <v>0</v>
      </c>
      <c r="O52" s="14">
        <v>0</v>
      </c>
      <c r="P52" s="16">
        <v>0</v>
      </c>
      <c r="Q52" s="14">
        <v>0</v>
      </c>
      <c r="R52" s="16">
        <v>0</v>
      </c>
    </row>
    <row r="53" spans="1:18" x14ac:dyDescent="0.25">
      <c r="A53" s="11" t="s">
        <v>186</v>
      </c>
      <c r="B53" s="13">
        <v>2811</v>
      </c>
      <c r="C53" s="14">
        <f>(2373/B53*100)</f>
        <v>84.418356456776948</v>
      </c>
      <c r="D53" s="15">
        <v>438</v>
      </c>
      <c r="E53" s="14">
        <v>50.583134889999997</v>
      </c>
      <c r="F53" s="16">
        <v>2.43773186</v>
      </c>
      <c r="G53" s="14">
        <v>49.416865110000003</v>
      </c>
      <c r="H53" s="16">
        <v>2.43773186</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19.92646736</v>
      </c>
      <c r="F56" s="16">
        <v>2.7426706900000002</v>
      </c>
      <c r="G56" s="14">
        <v>80.073532639999996</v>
      </c>
      <c r="H56" s="16">
        <v>2.7426706900000002</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39.07680199</v>
      </c>
      <c r="F61" s="16">
        <v>2.46454218</v>
      </c>
      <c r="G61" s="14">
        <v>60.92319801</v>
      </c>
      <c r="H61" s="16">
        <v>2.46454218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36.922082000000003</v>
      </c>
      <c r="F62" s="16">
        <v>2.73685665</v>
      </c>
      <c r="G62" s="14">
        <v>63.077917999999997</v>
      </c>
      <c r="H62" s="16">
        <v>2.73685665</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57.36686504</v>
      </c>
      <c r="F66" s="16">
        <v>2.5737126699999999</v>
      </c>
      <c r="G66" s="14">
        <v>42.63313496</v>
      </c>
      <c r="H66" s="16">
        <v>2.5737126699999999</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(3050/B67*100)</f>
        <v>86.869837653090286</v>
      </c>
      <c r="D67" s="15">
        <v>461</v>
      </c>
      <c r="E67" s="14">
        <v>74.619331070000001</v>
      </c>
      <c r="F67" s="16">
        <v>1.9940494099999999</v>
      </c>
      <c r="G67" s="14">
        <v>25.380668929999999</v>
      </c>
      <c r="H67" s="16">
        <v>1.9940494099999999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54.924125060000001</v>
      </c>
      <c r="F70" s="16">
        <v>2.9352961899999999</v>
      </c>
      <c r="G70" s="14">
        <v>45.075874939999999</v>
      </c>
      <c r="H70" s="16">
        <v>2.9352961899999999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26.080537159999999</v>
      </c>
      <c r="F72" s="16">
        <v>1.89335948</v>
      </c>
      <c r="G72" s="14">
        <v>73.919462839999994</v>
      </c>
      <c r="H72" s="16">
        <v>1.89335948</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(3056/B73*100)</f>
        <v>84.959688629413392</v>
      </c>
      <c r="D73" s="15">
        <v>541</v>
      </c>
      <c r="E73" s="14">
        <v>38.007410780000001</v>
      </c>
      <c r="F73" s="16">
        <v>2.6589635199999999</v>
      </c>
      <c r="G73" s="14">
        <v>61.992589219999999</v>
      </c>
      <c r="H73" s="16">
        <v>2.6589635199999999</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55.038916129999997</v>
      </c>
      <c r="F75" s="16">
        <v>2.73157563</v>
      </c>
      <c r="G75" s="14">
        <v>44.961083870000003</v>
      </c>
      <c r="H75" s="16">
        <v>2.73157563</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45.481357420000002</v>
      </c>
      <c r="F76" s="16">
        <v>1.6472633000000001</v>
      </c>
      <c r="G76" s="14">
        <v>54.518642579999998</v>
      </c>
      <c r="H76" s="16">
        <v>1.6472633000000001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(2508/B77*100)</f>
        <v>86.244841815680886</v>
      </c>
      <c r="D77" s="15">
        <v>400</v>
      </c>
      <c r="E77" s="14">
        <v>48.985232570000001</v>
      </c>
      <c r="F77" s="16">
        <v>2.9860026500000001</v>
      </c>
      <c r="G77" s="14">
        <v>51.014767429999999</v>
      </c>
      <c r="H77" s="16">
        <v>2.9860026500000001</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38.501934509999998</v>
      </c>
      <c r="F81" s="16">
        <v>2.2003691399999998</v>
      </c>
      <c r="G81" s="14">
        <v>61.498065490000002</v>
      </c>
      <c r="H81" s="16">
        <v>2.2003691399999998</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R96"/>
  <sheetViews>
    <sheetView zoomScale="80" workbookViewId="0">
      <pane xSplit="4" topLeftCell="E1" activePane="topRight" state="frozen"/>
      <selection pane="topRight" activeCell="A6" sqref="A6"/>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337</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0</v>
      </c>
      <c r="F7" s="16">
        <v>0</v>
      </c>
      <c r="G7" s="14">
        <v>0</v>
      </c>
      <c r="H7" s="16">
        <v>0</v>
      </c>
      <c r="I7" s="14" t="s">
        <v>139</v>
      </c>
      <c r="J7" s="16" t="s">
        <v>139</v>
      </c>
      <c r="K7" s="14">
        <v>0</v>
      </c>
      <c r="L7" s="16">
        <v>0</v>
      </c>
      <c r="M7" s="14">
        <v>100</v>
      </c>
      <c r="N7" s="16">
        <v>0</v>
      </c>
      <c r="O7" s="14">
        <v>0</v>
      </c>
      <c r="P7" s="16">
        <v>0</v>
      </c>
      <c r="Q7" s="14">
        <v>0</v>
      </c>
      <c r="R7" s="16">
        <v>0</v>
      </c>
    </row>
    <row r="8" spans="1:18" x14ac:dyDescent="0.25">
      <c r="A8" s="11" t="s">
        <v>140</v>
      </c>
      <c r="B8" s="13">
        <v>3564</v>
      </c>
      <c r="C8" s="14">
        <f>(3000/B8*100)</f>
        <v>84.17508417508418</v>
      </c>
      <c r="D8" s="15">
        <v>564</v>
      </c>
      <c r="E8" s="14">
        <v>0</v>
      </c>
      <c r="F8" s="16">
        <v>0</v>
      </c>
      <c r="G8" s="14">
        <v>0</v>
      </c>
      <c r="H8" s="16">
        <v>0</v>
      </c>
      <c r="I8" s="14" t="s">
        <v>139</v>
      </c>
      <c r="J8" s="16" t="s">
        <v>139</v>
      </c>
      <c r="K8" s="14">
        <v>0</v>
      </c>
      <c r="L8" s="16">
        <v>0</v>
      </c>
      <c r="M8" s="14">
        <v>100</v>
      </c>
      <c r="N8" s="16">
        <v>0</v>
      </c>
      <c r="O8" s="14">
        <v>0</v>
      </c>
      <c r="P8" s="16">
        <v>0</v>
      </c>
      <c r="Q8" s="14">
        <v>0</v>
      </c>
      <c r="R8" s="16">
        <v>0</v>
      </c>
    </row>
    <row r="9" spans="1:18" x14ac:dyDescent="0.25">
      <c r="A9" s="11" t="s">
        <v>141</v>
      </c>
      <c r="B9" s="13">
        <v>4899</v>
      </c>
      <c r="C9" s="14">
        <f>(4175/B9*100)</f>
        <v>85.221473770157175</v>
      </c>
      <c r="D9" s="15">
        <v>724</v>
      </c>
      <c r="E9" s="14">
        <v>0</v>
      </c>
      <c r="F9" s="16">
        <v>0</v>
      </c>
      <c r="G9" s="14">
        <v>0</v>
      </c>
      <c r="H9" s="16">
        <v>0</v>
      </c>
      <c r="I9" s="14" t="s">
        <v>139</v>
      </c>
      <c r="J9" s="16" t="s">
        <v>139</v>
      </c>
      <c r="K9" s="14">
        <v>0</v>
      </c>
      <c r="L9" s="16">
        <v>0</v>
      </c>
      <c r="M9" s="14">
        <v>100</v>
      </c>
      <c r="N9" s="16">
        <v>0</v>
      </c>
      <c r="O9" s="14">
        <v>0</v>
      </c>
      <c r="P9" s="16">
        <v>0</v>
      </c>
      <c r="Q9" s="14">
        <v>0</v>
      </c>
      <c r="R9" s="16">
        <v>0</v>
      </c>
    </row>
    <row r="10" spans="1:18" x14ac:dyDescent="0.25">
      <c r="A10" s="11" t="s">
        <v>142</v>
      </c>
      <c r="B10" s="13">
        <v>10036</v>
      </c>
      <c r="C10" s="14">
        <f>(8407/B10*100)</f>
        <v>83.768433638899964</v>
      </c>
      <c r="D10" s="15">
        <v>1629</v>
      </c>
      <c r="E10" s="14">
        <v>0</v>
      </c>
      <c r="F10" s="16">
        <v>0</v>
      </c>
      <c r="G10" s="14">
        <v>0</v>
      </c>
      <c r="H10" s="16">
        <v>0</v>
      </c>
      <c r="I10" s="14" t="s">
        <v>139</v>
      </c>
      <c r="J10" s="16" t="s">
        <v>139</v>
      </c>
      <c r="K10" s="14">
        <v>0</v>
      </c>
      <c r="L10" s="16">
        <v>0</v>
      </c>
      <c r="M10" s="14">
        <v>100</v>
      </c>
      <c r="N10" s="16">
        <v>0</v>
      </c>
      <c r="O10" s="14">
        <v>0</v>
      </c>
      <c r="P10" s="16">
        <v>0</v>
      </c>
      <c r="Q10" s="14">
        <v>0</v>
      </c>
      <c r="R10" s="16">
        <v>0</v>
      </c>
    </row>
    <row r="11" spans="1:18" x14ac:dyDescent="0.25">
      <c r="A11" s="11" t="s">
        <v>143</v>
      </c>
      <c r="B11" s="13">
        <v>3553</v>
      </c>
      <c r="C11" s="14">
        <f>(3017/B11*100)</f>
        <v>84.914157050379956</v>
      </c>
      <c r="D11" s="15">
        <v>536</v>
      </c>
      <c r="E11" s="14">
        <v>0</v>
      </c>
      <c r="F11" s="16">
        <v>0</v>
      </c>
      <c r="G11" s="14">
        <v>0</v>
      </c>
      <c r="H11" s="16">
        <v>0</v>
      </c>
      <c r="I11" s="14" t="s">
        <v>139</v>
      </c>
      <c r="J11" s="16" t="s">
        <v>139</v>
      </c>
      <c r="K11" s="14">
        <v>0</v>
      </c>
      <c r="L11" s="16">
        <v>0</v>
      </c>
      <c r="M11" s="14">
        <v>100</v>
      </c>
      <c r="N11" s="16">
        <v>0</v>
      </c>
      <c r="O11" s="14">
        <v>0</v>
      </c>
      <c r="P11" s="16">
        <v>0</v>
      </c>
      <c r="Q11" s="14">
        <v>0</v>
      </c>
      <c r="R11" s="16">
        <v>0</v>
      </c>
    </row>
    <row r="12" spans="1:18" x14ac:dyDescent="0.25">
      <c r="A12" s="11" t="s">
        <v>144</v>
      </c>
      <c r="B12" s="13">
        <v>3472</v>
      </c>
      <c r="C12" s="14">
        <f>(2904/B12*100)</f>
        <v>83.640552995391701</v>
      </c>
      <c r="D12" s="15">
        <v>568</v>
      </c>
      <c r="E12" s="14">
        <v>0</v>
      </c>
      <c r="F12" s="16">
        <v>0</v>
      </c>
      <c r="G12" s="14">
        <v>0</v>
      </c>
      <c r="H12" s="16">
        <v>0</v>
      </c>
      <c r="I12" s="14" t="s">
        <v>139</v>
      </c>
      <c r="J12" s="16" t="s">
        <v>139</v>
      </c>
      <c r="K12" s="14">
        <v>0</v>
      </c>
      <c r="L12" s="16">
        <v>0</v>
      </c>
      <c r="M12" s="14">
        <v>100</v>
      </c>
      <c r="N12" s="16">
        <v>0</v>
      </c>
      <c r="O12" s="14">
        <v>0</v>
      </c>
      <c r="P12" s="16">
        <v>0</v>
      </c>
      <c r="Q12" s="14">
        <v>0</v>
      </c>
      <c r="R12" s="16">
        <v>0</v>
      </c>
    </row>
    <row r="13" spans="1:18" x14ac:dyDescent="0.25">
      <c r="A13" s="11" t="s">
        <v>145</v>
      </c>
      <c r="B13" s="13">
        <v>3559</v>
      </c>
      <c r="C13" s="14">
        <f>(3043/B13*100)</f>
        <v>85.50154537791515</v>
      </c>
      <c r="D13" s="15">
        <v>516</v>
      </c>
      <c r="E13" s="14">
        <v>0</v>
      </c>
      <c r="F13" s="16">
        <v>0</v>
      </c>
      <c r="G13" s="14">
        <v>0</v>
      </c>
      <c r="H13" s="16">
        <v>0</v>
      </c>
      <c r="I13" s="14" t="s">
        <v>139</v>
      </c>
      <c r="J13" s="16" t="s">
        <v>139</v>
      </c>
      <c r="K13" s="14">
        <v>0</v>
      </c>
      <c r="L13" s="16">
        <v>0</v>
      </c>
      <c r="M13" s="14">
        <v>100</v>
      </c>
      <c r="N13" s="16">
        <v>0</v>
      </c>
      <c r="O13" s="14">
        <v>0</v>
      </c>
      <c r="P13" s="16">
        <v>0</v>
      </c>
      <c r="Q13" s="14">
        <v>0</v>
      </c>
      <c r="R13" s="16">
        <v>0</v>
      </c>
    </row>
    <row r="14" spans="1:18" x14ac:dyDescent="0.25">
      <c r="A14" s="11" t="s">
        <v>146</v>
      </c>
      <c r="B14" s="13">
        <v>2799</v>
      </c>
      <c r="C14" s="14">
        <f>(2344/B14*100)</f>
        <v>83.744194355126837</v>
      </c>
      <c r="D14" s="15">
        <v>455</v>
      </c>
      <c r="E14" s="14">
        <v>0</v>
      </c>
      <c r="F14" s="16">
        <v>0</v>
      </c>
      <c r="G14" s="14">
        <v>0</v>
      </c>
      <c r="H14" s="16">
        <v>0</v>
      </c>
      <c r="I14" s="14" t="s">
        <v>139</v>
      </c>
      <c r="J14" s="16" t="s">
        <v>139</v>
      </c>
      <c r="K14" s="14">
        <v>0</v>
      </c>
      <c r="L14" s="16">
        <v>0</v>
      </c>
      <c r="M14" s="14">
        <v>100</v>
      </c>
      <c r="N14" s="16">
        <v>0</v>
      </c>
      <c r="O14" s="14">
        <v>0</v>
      </c>
      <c r="P14" s="16">
        <v>0</v>
      </c>
      <c r="Q14" s="14">
        <v>0</v>
      </c>
      <c r="R14" s="16">
        <v>0</v>
      </c>
    </row>
    <row r="15" spans="1:18" x14ac:dyDescent="0.25">
      <c r="A15" s="11" t="s">
        <v>147</v>
      </c>
      <c r="B15" s="13">
        <v>3019</v>
      </c>
      <c r="C15" s="14">
        <f>(2530/B15*100)</f>
        <v>83.802583636965878</v>
      </c>
      <c r="D15" s="15">
        <v>489</v>
      </c>
      <c r="E15" s="14">
        <v>0</v>
      </c>
      <c r="F15" s="16">
        <v>0</v>
      </c>
      <c r="G15" s="14">
        <v>0</v>
      </c>
      <c r="H15" s="16">
        <v>0</v>
      </c>
      <c r="I15" s="14" t="s">
        <v>139</v>
      </c>
      <c r="J15" s="16" t="s">
        <v>139</v>
      </c>
      <c r="K15" s="14">
        <v>0</v>
      </c>
      <c r="L15" s="16">
        <v>0</v>
      </c>
      <c r="M15" s="14">
        <v>100</v>
      </c>
      <c r="N15" s="16">
        <v>0</v>
      </c>
      <c r="O15" s="14">
        <v>0</v>
      </c>
      <c r="P15" s="16">
        <v>0</v>
      </c>
      <c r="Q15" s="14">
        <v>0</v>
      </c>
      <c r="R15" s="16">
        <v>0</v>
      </c>
    </row>
    <row r="16" spans="1:18" x14ac:dyDescent="0.25">
      <c r="A16" s="11" t="s">
        <v>148</v>
      </c>
      <c r="B16" s="13">
        <v>2997</v>
      </c>
      <c r="C16" s="14">
        <f>(2544/B16*100)</f>
        <v>84.884884884884883</v>
      </c>
      <c r="D16" s="15">
        <v>453</v>
      </c>
      <c r="E16" s="14">
        <v>0</v>
      </c>
      <c r="F16" s="16">
        <v>0</v>
      </c>
      <c r="G16" s="14">
        <v>0</v>
      </c>
      <c r="H16" s="16">
        <v>0</v>
      </c>
      <c r="I16" s="14" t="s">
        <v>139</v>
      </c>
      <c r="J16" s="16" t="s">
        <v>139</v>
      </c>
      <c r="K16" s="14">
        <v>0</v>
      </c>
      <c r="L16" s="16">
        <v>0</v>
      </c>
      <c r="M16" s="14">
        <v>100</v>
      </c>
      <c r="N16" s="16">
        <v>0</v>
      </c>
      <c r="O16" s="14">
        <v>0</v>
      </c>
      <c r="P16" s="16">
        <v>0</v>
      </c>
      <c r="Q16" s="14">
        <v>0</v>
      </c>
      <c r="R16" s="16">
        <v>0</v>
      </c>
    </row>
    <row r="17" spans="1:18" x14ac:dyDescent="0.25">
      <c r="A17" s="11" t="s">
        <v>149</v>
      </c>
      <c r="B17" s="13">
        <v>3307</v>
      </c>
      <c r="C17" s="14">
        <f>(2830/B17*100)</f>
        <v>85.57605080133051</v>
      </c>
      <c r="D17" s="15">
        <v>477</v>
      </c>
      <c r="E17" s="14">
        <v>0</v>
      </c>
      <c r="F17" s="16">
        <v>0</v>
      </c>
      <c r="G17" s="14">
        <v>0</v>
      </c>
      <c r="H17" s="16">
        <v>0</v>
      </c>
      <c r="I17" s="14" t="s">
        <v>139</v>
      </c>
      <c r="J17" s="16" t="s">
        <v>139</v>
      </c>
      <c r="K17" s="14">
        <v>0</v>
      </c>
      <c r="L17" s="16">
        <v>0</v>
      </c>
      <c r="M17" s="14">
        <v>100</v>
      </c>
      <c r="N17" s="16">
        <v>0</v>
      </c>
      <c r="O17" s="14">
        <v>0</v>
      </c>
      <c r="P17" s="16">
        <v>0</v>
      </c>
      <c r="Q17" s="14">
        <v>0</v>
      </c>
      <c r="R17" s="16">
        <v>0</v>
      </c>
    </row>
    <row r="18" spans="1:18" x14ac:dyDescent="0.25">
      <c r="A18" s="11" t="s">
        <v>150</v>
      </c>
      <c r="B18" s="13">
        <v>2826</v>
      </c>
      <c r="C18" s="14">
        <f>(2365/B18*100)</f>
        <v>83.687190375088463</v>
      </c>
      <c r="D18" s="15">
        <v>461</v>
      </c>
      <c r="E18" s="14">
        <v>0</v>
      </c>
      <c r="F18" s="16">
        <v>0</v>
      </c>
      <c r="G18" s="14">
        <v>0</v>
      </c>
      <c r="H18" s="16">
        <v>0</v>
      </c>
      <c r="I18" s="14" t="s">
        <v>139</v>
      </c>
      <c r="J18" s="16" t="s">
        <v>139</v>
      </c>
      <c r="K18" s="14">
        <v>0</v>
      </c>
      <c r="L18" s="16">
        <v>0</v>
      </c>
      <c r="M18" s="14">
        <v>100</v>
      </c>
      <c r="N18" s="16">
        <v>0</v>
      </c>
      <c r="O18" s="14">
        <v>0</v>
      </c>
      <c r="P18" s="16">
        <v>0</v>
      </c>
      <c r="Q18" s="14">
        <v>0</v>
      </c>
      <c r="R18" s="16">
        <v>0</v>
      </c>
    </row>
    <row r="19" spans="1:18" x14ac:dyDescent="0.25">
      <c r="A19" s="11" t="s">
        <v>151</v>
      </c>
      <c r="B19" s="13">
        <v>2808</v>
      </c>
      <c r="C19" s="14">
        <f>(2376/B19*100)</f>
        <v>84.615384615384613</v>
      </c>
      <c r="D19" s="15">
        <v>432</v>
      </c>
      <c r="E19" s="14">
        <v>0</v>
      </c>
      <c r="F19" s="16">
        <v>0</v>
      </c>
      <c r="G19" s="14">
        <v>0</v>
      </c>
      <c r="H19" s="16">
        <v>0</v>
      </c>
      <c r="I19" s="14" t="s">
        <v>139</v>
      </c>
      <c r="J19" s="16" t="s">
        <v>139</v>
      </c>
      <c r="K19" s="14">
        <v>0</v>
      </c>
      <c r="L19" s="16">
        <v>0</v>
      </c>
      <c r="M19" s="14">
        <v>100</v>
      </c>
      <c r="N19" s="16">
        <v>0</v>
      </c>
      <c r="O19" s="14">
        <v>0</v>
      </c>
      <c r="P19" s="16">
        <v>0</v>
      </c>
      <c r="Q19" s="14">
        <v>0</v>
      </c>
      <c r="R19" s="16">
        <v>0</v>
      </c>
    </row>
    <row r="20" spans="1:18" x14ac:dyDescent="0.25">
      <c r="A20" s="11" t="s">
        <v>152</v>
      </c>
      <c r="B20" s="13">
        <v>1630</v>
      </c>
      <c r="C20" s="14">
        <f>(1376/B20*100)</f>
        <v>84.417177914110425</v>
      </c>
      <c r="D20" s="15">
        <v>254</v>
      </c>
      <c r="E20" s="14">
        <v>0</v>
      </c>
      <c r="F20" s="16">
        <v>0</v>
      </c>
      <c r="G20" s="14">
        <v>0</v>
      </c>
      <c r="H20" s="16">
        <v>0</v>
      </c>
      <c r="I20" s="14" t="s">
        <v>139</v>
      </c>
      <c r="J20" s="16" t="s">
        <v>139</v>
      </c>
      <c r="K20" s="14">
        <v>0</v>
      </c>
      <c r="L20" s="16">
        <v>0</v>
      </c>
      <c r="M20" s="14">
        <v>100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0</v>
      </c>
      <c r="F22" s="16">
        <v>0</v>
      </c>
      <c r="G22" s="14">
        <v>0</v>
      </c>
      <c r="H22" s="16">
        <v>0</v>
      </c>
      <c r="I22" s="14" t="s">
        <v>139</v>
      </c>
      <c r="J22" s="16" t="s">
        <v>139</v>
      </c>
      <c r="K22" s="14">
        <v>0</v>
      </c>
      <c r="L22" s="16">
        <v>0</v>
      </c>
      <c r="M22" s="14">
        <v>100</v>
      </c>
      <c r="N22" s="16">
        <v>0</v>
      </c>
      <c r="O22" s="14">
        <v>0</v>
      </c>
      <c r="P22" s="16">
        <v>0</v>
      </c>
      <c r="Q22" s="14">
        <v>0</v>
      </c>
      <c r="R22" s="16">
        <v>0</v>
      </c>
    </row>
    <row r="23" spans="1:18" x14ac:dyDescent="0.25">
      <c r="A23" s="11" t="s">
        <v>156</v>
      </c>
      <c r="B23" s="13">
        <v>5791</v>
      </c>
      <c r="C23" s="14">
        <f>(4848/B23*100)</f>
        <v>83.716111207045415</v>
      </c>
      <c r="D23" s="15">
        <v>943</v>
      </c>
      <c r="E23" s="14">
        <v>0</v>
      </c>
      <c r="F23" s="16">
        <v>0</v>
      </c>
      <c r="G23" s="14">
        <v>0</v>
      </c>
      <c r="H23" s="16">
        <v>0</v>
      </c>
      <c r="I23" s="14" t="s">
        <v>139</v>
      </c>
      <c r="J23" s="16" t="s">
        <v>139</v>
      </c>
      <c r="K23" s="14">
        <v>0</v>
      </c>
      <c r="L23" s="16">
        <v>0</v>
      </c>
      <c r="M23" s="14">
        <v>100</v>
      </c>
      <c r="N23" s="16">
        <v>0</v>
      </c>
      <c r="O23" s="14">
        <v>0</v>
      </c>
      <c r="P23" s="16">
        <v>0</v>
      </c>
      <c r="Q23" s="14">
        <v>0</v>
      </c>
      <c r="R23" s="16">
        <v>0</v>
      </c>
    </row>
    <row r="24" spans="1:18" x14ac:dyDescent="0.25">
      <c r="A24" s="11" t="s">
        <v>157</v>
      </c>
      <c r="B24" s="13">
        <v>3338</v>
      </c>
      <c r="C24" s="14">
        <f>(2797/B24*100)</f>
        <v>83.792690233672857</v>
      </c>
      <c r="D24" s="15">
        <v>541</v>
      </c>
      <c r="E24" s="14">
        <v>0</v>
      </c>
      <c r="F24" s="16">
        <v>0</v>
      </c>
      <c r="G24" s="14">
        <v>0</v>
      </c>
      <c r="H24" s="16">
        <v>0</v>
      </c>
      <c r="I24" s="14" t="s">
        <v>139</v>
      </c>
      <c r="J24" s="16" t="s">
        <v>139</v>
      </c>
      <c r="K24" s="14">
        <v>0</v>
      </c>
      <c r="L24" s="16">
        <v>0</v>
      </c>
      <c r="M24" s="14">
        <v>100</v>
      </c>
      <c r="N24" s="16">
        <v>0</v>
      </c>
      <c r="O24" s="14">
        <v>0</v>
      </c>
      <c r="P24" s="16">
        <v>0</v>
      </c>
      <c r="Q24" s="14">
        <v>0</v>
      </c>
      <c r="R24" s="16">
        <v>0</v>
      </c>
    </row>
    <row r="25" spans="1:18" x14ac:dyDescent="0.25">
      <c r="A25" s="11" t="s">
        <v>158</v>
      </c>
      <c r="B25" s="13">
        <v>2912</v>
      </c>
      <c r="C25" s="14">
        <f>(2414/B25*100)</f>
        <v>82.89835164835165</v>
      </c>
      <c r="D25" s="15">
        <v>498</v>
      </c>
      <c r="E25" s="14">
        <v>0</v>
      </c>
      <c r="F25" s="16">
        <v>0</v>
      </c>
      <c r="G25" s="14">
        <v>0</v>
      </c>
      <c r="H25" s="16">
        <v>0</v>
      </c>
      <c r="I25" s="14" t="s">
        <v>139</v>
      </c>
      <c r="J25" s="16" t="s">
        <v>139</v>
      </c>
      <c r="K25" s="14">
        <v>0</v>
      </c>
      <c r="L25" s="16">
        <v>0</v>
      </c>
      <c r="M25" s="14">
        <v>100</v>
      </c>
      <c r="N25" s="16">
        <v>0</v>
      </c>
      <c r="O25" s="14">
        <v>0</v>
      </c>
      <c r="P25" s="16">
        <v>0</v>
      </c>
      <c r="Q25" s="14">
        <v>0</v>
      </c>
      <c r="R25" s="16">
        <v>0</v>
      </c>
    </row>
    <row r="26" spans="1:18" x14ac:dyDescent="0.25">
      <c r="A26" s="11" t="s">
        <v>159</v>
      </c>
      <c r="B26" s="13">
        <v>2450</v>
      </c>
      <c r="C26" s="14">
        <f>(2058/B26*100)</f>
        <v>84</v>
      </c>
      <c r="D26" s="15">
        <v>392</v>
      </c>
      <c r="E26" s="14">
        <v>0</v>
      </c>
      <c r="F26" s="16">
        <v>0</v>
      </c>
      <c r="G26" s="14">
        <v>0</v>
      </c>
      <c r="H26" s="16">
        <v>0</v>
      </c>
      <c r="I26" s="14" t="s">
        <v>139</v>
      </c>
      <c r="J26" s="16" t="s">
        <v>139</v>
      </c>
      <c r="K26" s="14">
        <v>0</v>
      </c>
      <c r="L26" s="16">
        <v>0</v>
      </c>
      <c r="M26" s="14">
        <v>100</v>
      </c>
      <c r="N26" s="16">
        <v>0</v>
      </c>
      <c r="O26" s="14">
        <v>0</v>
      </c>
      <c r="P26" s="16">
        <v>0</v>
      </c>
      <c r="Q26" s="14">
        <v>0</v>
      </c>
      <c r="R26" s="16">
        <v>0</v>
      </c>
    </row>
    <row r="27" spans="1:18" x14ac:dyDescent="0.25">
      <c r="A27" s="11" t="s">
        <v>160</v>
      </c>
      <c r="B27" s="13">
        <v>2616</v>
      </c>
      <c r="C27" s="14">
        <f>(2229/B27*100)</f>
        <v>85.206422018348633</v>
      </c>
      <c r="D27" s="15">
        <v>387</v>
      </c>
      <c r="E27" s="14">
        <v>0</v>
      </c>
      <c r="F27" s="16">
        <v>0</v>
      </c>
      <c r="G27" s="14">
        <v>0</v>
      </c>
      <c r="H27" s="16">
        <v>0</v>
      </c>
      <c r="I27" s="14" t="s">
        <v>139</v>
      </c>
      <c r="J27" s="16" t="s">
        <v>139</v>
      </c>
      <c r="K27" s="14">
        <v>0</v>
      </c>
      <c r="L27" s="16">
        <v>0</v>
      </c>
      <c r="M27" s="14">
        <v>100</v>
      </c>
      <c r="N27" s="16">
        <v>0</v>
      </c>
      <c r="O27" s="14">
        <v>0</v>
      </c>
      <c r="P27" s="16">
        <v>0</v>
      </c>
      <c r="Q27" s="14">
        <v>0</v>
      </c>
      <c r="R27" s="16">
        <v>0</v>
      </c>
    </row>
    <row r="28" spans="1:18" x14ac:dyDescent="0.25">
      <c r="A28" s="11" t="s">
        <v>161</v>
      </c>
      <c r="B28" s="13">
        <v>3765</v>
      </c>
      <c r="C28" s="14">
        <f>(3235/B28*100)</f>
        <v>85.922974767596287</v>
      </c>
      <c r="D28" s="15">
        <v>530</v>
      </c>
      <c r="E28" s="14">
        <v>0</v>
      </c>
      <c r="F28" s="16">
        <v>0</v>
      </c>
      <c r="G28" s="14">
        <v>0</v>
      </c>
      <c r="H28" s="16">
        <v>0</v>
      </c>
      <c r="I28" s="14" t="s">
        <v>139</v>
      </c>
      <c r="J28" s="16" t="s">
        <v>139</v>
      </c>
      <c r="K28" s="14">
        <v>0</v>
      </c>
      <c r="L28" s="16">
        <v>0</v>
      </c>
      <c r="M28" s="14">
        <v>100</v>
      </c>
      <c r="N28" s="16">
        <v>0</v>
      </c>
      <c r="O28" s="14">
        <v>0</v>
      </c>
      <c r="P28" s="16">
        <v>0</v>
      </c>
      <c r="Q28" s="14">
        <v>0</v>
      </c>
      <c r="R28" s="16">
        <v>0</v>
      </c>
    </row>
    <row r="29" spans="1:18" x14ac:dyDescent="0.25">
      <c r="A29" s="11" t="s">
        <v>162</v>
      </c>
      <c r="B29" s="13">
        <v>2685</v>
      </c>
      <c r="C29" s="14">
        <f>(2235/B29*100)</f>
        <v>83.240223463687144</v>
      </c>
      <c r="D29" s="15">
        <v>450</v>
      </c>
      <c r="E29" s="14">
        <v>0</v>
      </c>
      <c r="F29" s="16">
        <v>0</v>
      </c>
      <c r="G29" s="14">
        <v>0</v>
      </c>
      <c r="H29" s="16">
        <v>0</v>
      </c>
      <c r="I29" s="14" t="s">
        <v>139</v>
      </c>
      <c r="J29" s="16" t="s">
        <v>139</v>
      </c>
      <c r="K29" s="14">
        <v>0</v>
      </c>
      <c r="L29" s="16">
        <v>0</v>
      </c>
      <c r="M29" s="14">
        <v>100</v>
      </c>
      <c r="N29" s="16">
        <v>0</v>
      </c>
      <c r="O29" s="14">
        <v>0</v>
      </c>
      <c r="P29" s="16">
        <v>0</v>
      </c>
      <c r="Q29" s="14">
        <v>0</v>
      </c>
      <c r="R29" s="16">
        <v>0</v>
      </c>
    </row>
    <row r="30" spans="1:18" x14ac:dyDescent="0.25">
      <c r="A30" s="11" t="s">
        <v>163</v>
      </c>
      <c r="B30" s="13">
        <v>2263</v>
      </c>
      <c r="C30" s="14">
        <f>(1921/B30*100)</f>
        <v>84.887317719840922</v>
      </c>
      <c r="D30" s="15">
        <v>342</v>
      </c>
      <c r="E30" s="14">
        <v>0</v>
      </c>
      <c r="F30" s="16">
        <v>0</v>
      </c>
      <c r="G30" s="14">
        <v>0</v>
      </c>
      <c r="H30" s="16">
        <v>0</v>
      </c>
      <c r="I30" s="14" t="s">
        <v>139</v>
      </c>
      <c r="J30" s="16" t="s">
        <v>139</v>
      </c>
      <c r="K30" s="14">
        <v>0</v>
      </c>
      <c r="L30" s="16">
        <v>0</v>
      </c>
      <c r="M30" s="14">
        <v>100</v>
      </c>
      <c r="N30" s="16">
        <v>0</v>
      </c>
      <c r="O30" s="14">
        <v>0</v>
      </c>
      <c r="P30" s="16">
        <v>0</v>
      </c>
      <c r="Q30" s="14">
        <v>0</v>
      </c>
      <c r="R30" s="16">
        <v>0</v>
      </c>
    </row>
    <row r="31" spans="1:18" x14ac:dyDescent="0.25">
      <c r="A31" s="11" t="s">
        <v>164</v>
      </c>
      <c r="B31" s="13">
        <v>2750</v>
      </c>
      <c r="C31" s="14">
        <f>(2318/B31*100)</f>
        <v>84.290909090909096</v>
      </c>
      <c r="D31" s="15">
        <v>432</v>
      </c>
      <c r="E31" s="14">
        <v>0</v>
      </c>
      <c r="F31" s="16">
        <v>0</v>
      </c>
      <c r="G31" s="14">
        <v>0</v>
      </c>
      <c r="H31" s="16">
        <v>0</v>
      </c>
      <c r="I31" s="14" t="s">
        <v>139</v>
      </c>
      <c r="J31" s="16" t="s">
        <v>139</v>
      </c>
      <c r="K31" s="14">
        <v>0</v>
      </c>
      <c r="L31" s="16">
        <v>0</v>
      </c>
      <c r="M31" s="14">
        <v>100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0</v>
      </c>
      <c r="F33" s="16">
        <v>0</v>
      </c>
      <c r="G33" s="14">
        <v>0</v>
      </c>
      <c r="H33" s="16">
        <v>0</v>
      </c>
      <c r="I33" s="14" t="s">
        <v>139</v>
      </c>
      <c r="J33" s="16" t="s">
        <v>139</v>
      </c>
      <c r="K33" s="14">
        <v>0</v>
      </c>
      <c r="L33" s="16">
        <v>0</v>
      </c>
      <c r="M33" s="14">
        <v>100</v>
      </c>
      <c r="N33" s="16">
        <v>0</v>
      </c>
      <c r="O33" s="14">
        <v>0</v>
      </c>
      <c r="P33" s="16">
        <v>0</v>
      </c>
      <c r="Q33" s="14">
        <v>0</v>
      </c>
      <c r="R33" s="16">
        <v>0</v>
      </c>
    </row>
    <row r="34" spans="1:18" x14ac:dyDescent="0.25">
      <c r="A34" s="11" t="s">
        <v>167</v>
      </c>
      <c r="B34" s="13">
        <v>3315</v>
      </c>
      <c r="C34" s="14">
        <f>(2819/B34*100)</f>
        <v>85.037707390648563</v>
      </c>
      <c r="D34" s="15">
        <v>496</v>
      </c>
      <c r="E34" s="14">
        <v>0</v>
      </c>
      <c r="F34" s="16">
        <v>0</v>
      </c>
      <c r="G34" s="14">
        <v>0</v>
      </c>
      <c r="H34" s="16">
        <v>0</v>
      </c>
      <c r="I34" s="14" t="s">
        <v>139</v>
      </c>
      <c r="J34" s="16" t="s">
        <v>139</v>
      </c>
      <c r="K34" s="14">
        <v>0</v>
      </c>
      <c r="L34" s="16">
        <v>0</v>
      </c>
      <c r="M34" s="14">
        <v>100</v>
      </c>
      <c r="N34" s="16">
        <v>0</v>
      </c>
      <c r="O34" s="14">
        <v>0</v>
      </c>
      <c r="P34" s="16">
        <v>0</v>
      </c>
      <c r="Q34" s="14">
        <v>0</v>
      </c>
      <c r="R34" s="16">
        <v>0</v>
      </c>
    </row>
    <row r="35" spans="1:18" x14ac:dyDescent="0.25">
      <c r="A35" s="11" t="s">
        <v>168</v>
      </c>
      <c r="B35" s="13">
        <v>3505</v>
      </c>
      <c r="C35" s="14">
        <f>(2950/B35*100)</f>
        <v>84.165477888730393</v>
      </c>
      <c r="D35" s="15">
        <v>555</v>
      </c>
      <c r="E35" s="14">
        <v>0</v>
      </c>
      <c r="F35" s="16">
        <v>0</v>
      </c>
      <c r="G35" s="14">
        <v>0</v>
      </c>
      <c r="H35" s="16">
        <v>0</v>
      </c>
      <c r="I35" s="14" t="s">
        <v>139</v>
      </c>
      <c r="J35" s="16" t="s">
        <v>139</v>
      </c>
      <c r="K35" s="14">
        <v>0</v>
      </c>
      <c r="L35" s="16">
        <v>0</v>
      </c>
      <c r="M35" s="14">
        <v>100</v>
      </c>
      <c r="N35" s="16">
        <v>0</v>
      </c>
      <c r="O35" s="14">
        <v>0</v>
      </c>
      <c r="P35" s="16">
        <v>0</v>
      </c>
      <c r="Q35" s="14">
        <v>0</v>
      </c>
      <c r="R35" s="16">
        <v>0</v>
      </c>
    </row>
    <row r="36" spans="1:18" x14ac:dyDescent="0.25">
      <c r="A36" s="11" t="s">
        <v>169</v>
      </c>
      <c r="B36" s="13">
        <v>3332</v>
      </c>
      <c r="C36" s="14">
        <f>(2807/B36*100)</f>
        <v>84.243697478991592</v>
      </c>
      <c r="D36" s="15">
        <v>525</v>
      </c>
      <c r="E36" s="14">
        <v>0</v>
      </c>
      <c r="F36" s="16">
        <v>0</v>
      </c>
      <c r="G36" s="14">
        <v>0</v>
      </c>
      <c r="H36" s="16">
        <v>0</v>
      </c>
      <c r="I36" s="14" t="s">
        <v>139</v>
      </c>
      <c r="J36" s="16" t="s">
        <v>139</v>
      </c>
      <c r="K36" s="14">
        <v>0</v>
      </c>
      <c r="L36" s="16">
        <v>0</v>
      </c>
      <c r="M36" s="14">
        <v>100</v>
      </c>
      <c r="N36" s="16">
        <v>0</v>
      </c>
      <c r="O36" s="14">
        <v>0</v>
      </c>
      <c r="P36" s="16">
        <v>0</v>
      </c>
      <c r="Q36" s="14">
        <v>0</v>
      </c>
      <c r="R36" s="16">
        <v>0</v>
      </c>
    </row>
    <row r="37" spans="1:18" x14ac:dyDescent="0.25">
      <c r="A37" s="11" t="s">
        <v>170</v>
      </c>
      <c r="B37" s="13">
        <v>2727</v>
      </c>
      <c r="C37" s="14">
        <f>(2325/B37*100)</f>
        <v>85.258525852585251</v>
      </c>
      <c r="D37" s="15">
        <v>402</v>
      </c>
      <c r="E37" s="14">
        <v>0</v>
      </c>
      <c r="F37" s="16">
        <v>0</v>
      </c>
      <c r="G37" s="14">
        <v>0</v>
      </c>
      <c r="H37" s="16">
        <v>0</v>
      </c>
      <c r="I37" s="14" t="s">
        <v>139</v>
      </c>
      <c r="J37" s="16" t="s">
        <v>139</v>
      </c>
      <c r="K37" s="14">
        <v>0</v>
      </c>
      <c r="L37" s="16">
        <v>0</v>
      </c>
      <c r="M37" s="14">
        <v>100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0</v>
      </c>
      <c r="F39" s="16">
        <v>0</v>
      </c>
      <c r="G39" s="14">
        <v>0</v>
      </c>
      <c r="H39" s="16">
        <v>0</v>
      </c>
      <c r="I39" s="14" t="s">
        <v>139</v>
      </c>
      <c r="J39" s="16" t="s">
        <v>139</v>
      </c>
      <c r="K39" s="14">
        <v>0</v>
      </c>
      <c r="L39" s="16">
        <v>0</v>
      </c>
      <c r="M39" s="14">
        <v>100</v>
      </c>
      <c r="N39" s="16">
        <v>0</v>
      </c>
      <c r="O39" s="14">
        <v>0</v>
      </c>
      <c r="P39" s="16">
        <v>0</v>
      </c>
      <c r="Q39" s="14">
        <v>0</v>
      </c>
      <c r="R39" s="16">
        <v>0</v>
      </c>
    </row>
    <row r="40" spans="1:18" x14ac:dyDescent="0.25">
      <c r="A40" s="11" t="s">
        <v>173</v>
      </c>
      <c r="B40" s="13">
        <v>7235</v>
      </c>
      <c r="C40" s="14">
        <f>(6051/B40*100)</f>
        <v>83.63510711817554</v>
      </c>
      <c r="D40" s="15">
        <v>1184</v>
      </c>
      <c r="E40" s="14">
        <v>0</v>
      </c>
      <c r="F40" s="16">
        <v>0</v>
      </c>
      <c r="G40" s="14">
        <v>0</v>
      </c>
      <c r="H40" s="16">
        <v>0</v>
      </c>
      <c r="I40" s="14" t="s">
        <v>139</v>
      </c>
      <c r="J40" s="16" t="s">
        <v>139</v>
      </c>
      <c r="K40" s="14">
        <v>0</v>
      </c>
      <c r="L40" s="16">
        <v>0</v>
      </c>
      <c r="M40" s="14">
        <v>100</v>
      </c>
      <c r="N40" s="16">
        <v>0</v>
      </c>
      <c r="O40" s="14">
        <v>0</v>
      </c>
      <c r="P40" s="16">
        <v>0</v>
      </c>
      <c r="Q40" s="14">
        <v>0</v>
      </c>
      <c r="R40" s="16">
        <v>0</v>
      </c>
    </row>
    <row r="41" spans="1:18" x14ac:dyDescent="0.25">
      <c r="A41" s="11" t="s">
        <v>174</v>
      </c>
      <c r="B41" s="13">
        <v>2858</v>
      </c>
      <c r="C41" s="14">
        <f>(2413/B41*100)</f>
        <v>84.429671098670397</v>
      </c>
      <c r="D41" s="15">
        <v>445</v>
      </c>
      <c r="E41" s="14">
        <v>0</v>
      </c>
      <c r="F41" s="16">
        <v>0</v>
      </c>
      <c r="G41" s="14">
        <v>0</v>
      </c>
      <c r="H41" s="16">
        <v>0</v>
      </c>
      <c r="I41" s="14" t="s">
        <v>139</v>
      </c>
      <c r="J41" s="16" t="s">
        <v>139</v>
      </c>
      <c r="K41" s="14">
        <v>0</v>
      </c>
      <c r="L41" s="16">
        <v>0</v>
      </c>
      <c r="M41" s="14">
        <v>100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0</v>
      </c>
      <c r="F42" s="16">
        <f>IF(COUNT(F7:F41) &gt; 0, SQRT(SUMSQ(F7:F41)/(COUNT(F7:F41)*COUNT(F7:F41)) ), "—")</f>
        <v>0</v>
      </c>
      <c r="G42" s="14">
        <f>IF(COUNT(G7:G41) &gt; 0, AVERAGE(G7:G41), "—")</f>
        <v>0</v>
      </c>
      <c r="H42" s="16">
        <f>IF(COUNT(H7:H41) &gt; 0, SQRT(SUMSQ(H7:H41)/(COUNT(H7:H41)*COUNT(H7:H41)) ), "—")</f>
        <v>0</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100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0</v>
      </c>
      <c r="F46" s="16">
        <v>0</v>
      </c>
      <c r="G46" s="14">
        <v>0</v>
      </c>
      <c r="H46" s="16">
        <v>0</v>
      </c>
      <c r="I46" s="14" t="s">
        <v>139</v>
      </c>
      <c r="J46" s="16" t="s">
        <v>139</v>
      </c>
      <c r="K46" s="14">
        <v>0</v>
      </c>
      <c r="L46" s="16">
        <v>0</v>
      </c>
      <c r="M46" s="14">
        <v>100</v>
      </c>
      <c r="N46" s="16">
        <v>0</v>
      </c>
      <c r="O46" s="14">
        <v>0</v>
      </c>
      <c r="P46" s="16">
        <v>0</v>
      </c>
      <c r="Q46" s="14">
        <v>0</v>
      </c>
      <c r="R46" s="16">
        <v>0</v>
      </c>
    </row>
    <row r="47" spans="1:18" x14ac:dyDescent="0.25">
      <c r="A47" s="11" t="s">
        <v>180</v>
      </c>
      <c r="B47" s="13">
        <v>3105</v>
      </c>
      <c r="C47" s="14">
        <f>(2646/B47*100)</f>
        <v>85.217391304347828</v>
      </c>
      <c r="D47" s="15">
        <v>459</v>
      </c>
      <c r="E47" s="14">
        <v>0</v>
      </c>
      <c r="F47" s="16">
        <v>0</v>
      </c>
      <c r="G47" s="14">
        <v>0</v>
      </c>
      <c r="H47" s="16">
        <v>0</v>
      </c>
      <c r="I47" s="14" t="s">
        <v>139</v>
      </c>
      <c r="J47" s="16" t="s">
        <v>139</v>
      </c>
      <c r="K47" s="14">
        <v>0</v>
      </c>
      <c r="L47" s="16">
        <v>0</v>
      </c>
      <c r="M47" s="14">
        <v>100</v>
      </c>
      <c r="N47" s="16">
        <v>0</v>
      </c>
      <c r="O47" s="14">
        <v>0</v>
      </c>
      <c r="P47" s="16">
        <v>0</v>
      </c>
      <c r="Q47" s="14">
        <v>0</v>
      </c>
      <c r="R47" s="16">
        <v>0</v>
      </c>
    </row>
    <row r="48" spans="1:18" x14ac:dyDescent="0.25">
      <c r="A48" s="11" t="s">
        <v>181</v>
      </c>
      <c r="B48" s="13">
        <v>5159</v>
      </c>
      <c r="C48" s="14">
        <f>(4306/B48*100)</f>
        <v>83.465787943399889</v>
      </c>
      <c r="D48" s="15">
        <v>853</v>
      </c>
      <c r="E48" s="14">
        <v>0</v>
      </c>
      <c r="F48" s="16">
        <v>0</v>
      </c>
      <c r="G48" s="14">
        <v>0</v>
      </c>
      <c r="H48" s="16">
        <v>0</v>
      </c>
      <c r="I48" s="14" t="s">
        <v>139</v>
      </c>
      <c r="J48" s="16" t="s">
        <v>139</v>
      </c>
      <c r="K48" s="14">
        <v>0</v>
      </c>
      <c r="L48" s="16">
        <v>0</v>
      </c>
      <c r="M48" s="14">
        <v>100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0</v>
      </c>
      <c r="F50" s="16">
        <v>0</v>
      </c>
      <c r="G50" s="14">
        <v>0</v>
      </c>
      <c r="H50" s="16">
        <v>0</v>
      </c>
      <c r="I50" s="14" t="s">
        <v>139</v>
      </c>
      <c r="J50" s="16" t="s">
        <v>139</v>
      </c>
      <c r="K50" s="14">
        <v>0</v>
      </c>
      <c r="L50" s="16">
        <v>0</v>
      </c>
      <c r="M50" s="14">
        <v>100</v>
      </c>
      <c r="N50" s="16">
        <v>0</v>
      </c>
      <c r="O50" s="14">
        <v>0</v>
      </c>
      <c r="P50" s="16">
        <v>0</v>
      </c>
      <c r="Q50" s="14">
        <v>0</v>
      </c>
      <c r="R50" s="16">
        <v>0</v>
      </c>
    </row>
    <row r="51" spans="1:18" x14ac:dyDescent="0.25">
      <c r="A51" s="11" t="s">
        <v>184</v>
      </c>
      <c r="B51" s="13">
        <v>3372</v>
      </c>
      <c r="C51" s="14">
        <f>(2916/B51*100)</f>
        <v>86.47686832740213</v>
      </c>
      <c r="D51" s="15">
        <v>456</v>
      </c>
      <c r="E51" s="14">
        <v>0</v>
      </c>
      <c r="F51" s="16">
        <v>0</v>
      </c>
      <c r="G51" s="14">
        <v>0</v>
      </c>
      <c r="H51" s="16">
        <v>0</v>
      </c>
      <c r="I51" s="14" t="s">
        <v>139</v>
      </c>
      <c r="J51" s="16" t="s">
        <v>139</v>
      </c>
      <c r="K51" s="14">
        <v>0</v>
      </c>
      <c r="L51" s="16">
        <v>0</v>
      </c>
      <c r="M51" s="14">
        <v>100</v>
      </c>
      <c r="N51" s="16">
        <v>0</v>
      </c>
      <c r="O51" s="14">
        <v>0</v>
      </c>
      <c r="P51" s="16">
        <v>0</v>
      </c>
      <c r="Q51" s="14">
        <v>0</v>
      </c>
      <c r="R51" s="16">
        <v>0</v>
      </c>
    </row>
    <row r="52" spans="1:18" x14ac:dyDescent="0.25">
      <c r="A52" s="11" t="s">
        <v>185</v>
      </c>
      <c r="B52" s="13">
        <v>2796</v>
      </c>
      <c r="C52" s="14">
        <f>(2369/B52*100)</f>
        <v>84.728183118741057</v>
      </c>
      <c r="D52" s="15">
        <v>427</v>
      </c>
      <c r="E52" s="14">
        <v>0</v>
      </c>
      <c r="F52" s="16">
        <v>0</v>
      </c>
      <c r="G52" s="14">
        <v>0</v>
      </c>
      <c r="H52" s="16">
        <v>0</v>
      </c>
      <c r="I52" s="14" t="s">
        <v>139</v>
      </c>
      <c r="J52" s="16" t="s">
        <v>139</v>
      </c>
      <c r="K52" s="14">
        <v>0</v>
      </c>
      <c r="L52" s="16">
        <v>0</v>
      </c>
      <c r="M52" s="14">
        <v>100</v>
      </c>
      <c r="N52" s="16">
        <v>0</v>
      </c>
      <c r="O52" s="14">
        <v>0</v>
      </c>
      <c r="P52" s="16">
        <v>0</v>
      </c>
      <c r="Q52" s="14">
        <v>0</v>
      </c>
      <c r="R52" s="16">
        <v>0</v>
      </c>
    </row>
    <row r="53" spans="1:18" x14ac:dyDescent="0.25">
      <c r="A53" s="11" t="s">
        <v>186</v>
      </c>
      <c r="B53" s="13">
        <v>2811</v>
      </c>
      <c r="C53" s="14">
        <f>(2373/B53*100)</f>
        <v>84.418356456776948</v>
      </c>
      <c r="D53" s="15">
        <v>438</v>
      </c>
      <c r="E53" s="14">
        <v>0</v>
      </c>
      <c r="F53" s="16">
        <v>0</v>
      </c>
      <c r="G53" s="14">
        <v>0</v>
      </c>
      <c r="H53" s="16">
        <v>0</v>
      </c>
      <c r="I53" s="14" t="s">
        <v>139</v>
      </c>
      <c r="J53" s="16" t="s">
        <v>139</v>
      </c>
      <c r="K53" s="14">
        <v>0</v>
      </c>
      <c r="L53" s="16">
        <v>0</v>
      </c>
      <c r="M53" s="14">
        <v>100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0</v>
      </c>
      <c r="F56" s="16">
        <v>0</v>
      </c>
      <c r="G56" s="14">
        <v>0</v>
      </c>
      <c r="H56" s="16">
        <v>0</v>
      </c>
      <c r="I56" s="14" t="s">
        <v>139</v>
      </c>
      <c r="J56" s="16" t="s">
        <v>139</v>
      </c>
      <c r="K56" s="14">
        <v>0</v>
      </c>
      <c r="L56" s="16">
        <v>0</v>
      </c>
      <c r="M56" s="14">
        <v>100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0</v>
      </c>
      <c r="F61" s="16">
        <v>0</v>
      </c>
      <c r="G61" s="14">
        <v>0</v>
      </c>
      <c r="H61" s="16">
        <v>0</v>
      </c>
      <c r="I61" s="14" t="s">
        <v>139</v>
      </c>
      <c r="J61" s="16" t="s">
        <v>139</v>
      </c>
      <c r="K61" s="14">
        <v>0</v>
      </c>
      <c r="L61" s="16">
        <v>0</v>
      </c>
      <c r="M61" s="14">
        <v>100</v>
      </c>
      <c r="N61" s="16">
        <v>0</v>
      </c>
      <c r="O61" s="14">
        <v>0</v>
      </c>
      <c r="P61" s="16">
        <v>0</v>
      </c>
      <c r="Q61" s="14">
        <v>0</v>
      </c>
      <c r="R61" s="16">
        <v>0</v>
      </c>
    </row>
    <row r="62" spans="1:18" x14ac:dyDescent="0.25">
      <c r="A62" s="11" t="s">
        <v>195</v>
      </c>
      <c r="B62" s="13">
        <v>2246</v>
      </c>
      <c r="C62" s="14">
        <f>(1872/B62*100)</f>
        <v>83.348174532502227</v>
      </c>
      <c r="D62" s="15">
        <v>374</v>
      </c>
      <c r="E62" s="14">
        <v>0</v>
      </c>
      <c r="F62" s="16">
        <v>0</v>
      </c>
      <c r="G62" s="14">
        <v>0</v>
      </c>
      <c r="H62" s="16">
        <v>0</v>
      </c>
      <c r="I62" s="14" t="s">
        <v>139</v>
      </c>
      <c r="J62" s="16" t="s">
        <v>139</v>
      </c>
      <c r="K62" s="14">
        <v>0</v>
      </c>
      <c r="L62" s="16">
        <v>0</v>
      </c>
      <c r="M62" s="14">
        <v>100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0</v>
      </c>
      <c r="F66" s="16">
        <v>0</v>
      </c>
      <c r="G66" s="14">
        <v>0</v>
      </c>
      <c r="H66" s="16">
        <v>0</v>
      </c>
      <c r="I66" s="14" t="s">
        <v>139</v>
      </c>
      <c r="J66" s="16" t="s">
        <v>139</v>
      </c>
      <c r="K66" s="14">
        <v>0</v>
      </c>
      <c r="L66" s="16">
        <v>0</v>
      </c>
      <c r="M66" s="14">
        <v>100</v>
      </c>
      <c r="N66" s="16">
        <v>0</v>
      </c>
      <c r="O66" s="14">
        <v>0</v>
      </c>
      <c r="P66" s="16">
        <v>0</v>
      </c>
      <c r="Q66" s="14">
        <v>0</v>
      </c>
      <c r="R66" s="16">
        <v>0</v>
      </c>
    </row>
    <row r="67" spans="1:18" x14ac:dyDescent="0.25">
      <c r="A67" s="11" t="s">
        <v>200</v>
      </c>
      <c r="B67" s="13">
        <v>3511</v>
      </c>
      <c r="C67" s="14">
        <f>(3050/B67*100)</f>
        <v>86.869837653090286</v>
      </c>
      <c r="D67" s="15">
        <v>461</v>
      </c>
      <c r="E67" s="14">
        <v>0</v>
      </c>
      <c r="F67" s="16">
        <v>0</v>
      </c>
      <c r="G67" s="14">
        <v>0</v>
      </c>
      <c r="H67" s="16">
        <v>0</v>
      </c>
      <c r="I67" s="14" t="s">
        <v>139</v>
      </c>
      <c r="J67" s="16" t="s">
        <v>139</v>
      </c>
      <c r="K67" s="14">
        <v>0</v>
      </c>
      <c r="L67" s="16">
        <v>0</v>
      </c>
      <c r="M67" s="14">
        <v>100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0</v>
      </c>
      <c r="F70" s="16">
        <v>0</v>
      </c>
      <c r="G70" s="14">
        <v>0</v>
      </c>
      <c r="H70" s="16">
        <v>0</v>
      </c>
      <c r="I70" s="14" t="s">
        <v>139</v>
      </c>
      <c r="J70" s="16" t="s">
        <v>139</v>
      </c>
      <c r="K70" s="14">
        <v>0</v>
      </c>
      <c r="L70" s="16">
        <v>0</v>
      </c>
      <c r="M70" s="14">
        <v>100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0</v>
      </c>
      <c r="F72" s="16">
        <v>0</v>
      </c>
      <c r="G72" s="14">
        <v>0</v>
      </c>
      <c r="H72" s="16">
        <v>0</v>
      </c>
      <c r="I72" s="14" t="s">
        <v>139</v>
      </c>
      <c r="J72" s="16" t="s">
        <v>139</v>
      </c>
      <c r="K72" s="14">
        <v>0</v>
      </c>
      <c r="L72" s="16">
        <v>0</v>
      </c>
      <c r="M72" s="14">
        <v>100</v>
      </c>
      <c r="N72" s="16">
        <v>0</v>
      </c>
      <c r="O72" s="14">
        <v>0</v>
      </c>
      <c r="P72" s="16">
        <v>0</v>
      </c>
      <c r="Q72" s="14">
        <v>0</v>
      </c>
      <c r="R72" s="16">
        <v>0</v>
      </c>
    </row>
    <row r="73" spans="1:18" x14ac:dyDescent="0.25">
      <c r="A73" s="11" t="s">
        <v>206</v>
      </c>
      <c r="B73" s="13">
        <v>3597</v>
      </c>
      <c r="C73" s="14">
        <f>(3056/B73*100)</f>
        <v>84.959688629413392</v>
      </c>
      <c r="D73" s="15">
        <v>541</v>
      </c>
      <c r="E73" s="14">
        <v>0</v>
      </c>
      <c r="F73" s="16">
        <v>0</v>
      </c>
      <c r="G73" s="14">
        <v>0</v>
      </c>
      <c r="H73" s="16">
        <v>0</v>
      </c>
      <c r="I73" s="14" t="s">
        <v>139</v>
      </c>
      <c r="J73" s="16" t="s">
        <v>139</v>
      </c>
      <c r="K73" s="14">
        <v>0</v>
      </c>
      <c r="L73" s="16">
        <v>0</v>
      </c>
      <c r="M73" s="14">
        <v>100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0</v>
      </c>
      <c r="F75" s="16">
        <v>0</v>
      </c>
      <c r="G75" s="14">
        <v>0</v>
      </c>
      <c r="H75" s="16">
        <v>0</v>
      </c>
      <c r="I75" s="14" t="s">
        <v>139</v>
      </c>
      <c r="J75" s="16" t="s">
        <v>139</v>
      </c>
      <c r="K75" s="14">
        <v>0</v>
      </c>
      <c r="L75" s="16">
        <v>0</v>
      </c>
      <c r="M75" s="14">
        <v>100</v>
      </c>
      <c r="N75" s="16">
        <v>0</v>
      </c>
      <c r="O75" s="14">
        <v>0</v>
      </c>
      <c r="P75" s="16">
        <v>0</v>
      </c>
      <c r="Q75" s="14">
        <v>0</v>
      </c>
      <c r="R75" s="16">
        <v>0</v>
      </c>
    </row>
    <row r="76" spans="1:18" x14ac:dyDescent="0.25">
      <c r="A76" s="11" t="s">
        <v>209</v>
      </c>
      <c r="B76" s="13">
        <v>7052</v>
      </c>
      <c r="C76" s="14">
        <f>(5883/B76*100)</f>
        <v>83.423142370958587</v>
      </c>
      <c r="D76" s="15">
        <v>1169</v>
      </c>
      <c r="E76" s="14">
        <v>0</v>
      </c>
      <c r="F76" s="16">
        <v>0</v>
      </c>
      <c r="G76" s="14">
        <v>0</v>
      </c>
      <c r="H76" s="16">
        <v>0</v>
      </c>
      <c r="I76" s="14" t="s">
        <v>139</v>
      </c>
      <c r="J76" s="16" t="s">
        <v>139</v>
      </c>
      <c r="K76" s="14">
        <v>0</v>
      </c>
      <c r="L76" s="16">
        <v>0</v>
      </c>
      <c r="M76" s="14">
        <v>100</v>
      </c>
      <c r="N76" s="16">
        <v>0</v>
      </c>
      <c r="O76" s="14">
        <v>0</v>
      </c>
      <c r="P76" s="16">
        <v>0</v>
      </c>
      <c r="Q76" s="14">
        <v>0</v>
      </c>
      <c r="R76" s="16">
        <v>0</v>
      </c>
    </row>
    <row r="77" spans="1:18" x14ac:dyDescent="0.25">
      <c r="A77" s="11" t="s">
        <v>210</v>
      </c>
      <c r="B77" s="13">
        <v>2908</v>
      </c>
      <c r="C77" s="14">
        <f>(2508/B77*100)</f>
        <v>86.244841815680886</v>
      </c>
      <c r="D77" s="15">
        <v>400</v>
      </c>
      <c r="E77" s="14">
        <v>0</v>
      </c>
      <c r="F77" s="16">
        <v>0</v>
      </c>
      <c r="G77" s="14">
        <v>0</v>
      </c>
      <c r="H77" s="16">
        <v>0</v>
      </c>
      <c r="I77" s="14" t="s">
        <v>139</v>
      </c>
      <c r="J77" s="16" t="s">
        <v>139</v>
      </c>
      <c r="K77" s="14">
        <v>0</v>
      </c>
      <c r="L77" s="16">
        <v>0</v>
      </c>
      <c r="M77" s="14">
        <v>100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0</v>
      </c>
      <c r="F81" s="16">
        <v>0</v>
      </c>
      <c r="G81" s="14">
        <v>0</v>
      </c>
      <c r="H81" s="16">
        <v>0</v>
      </c>
      <c r="I81" s="14" t="s">
        <v>139</v>
      </c>
      <c r="J81" s="16" t="s">
        <v>139</v>
      </c>
      <c r="K81" s="14">
        <v>0</v>
      </c>
      <c r="L81" s="16">
        <v>0</v>
      </c>
      <c r="M81" s="14">
        <v>100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338</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(6251/B7*100)</f>
        <v>84.851364191665539</v>
      </c>
      <c r="D7" s="15">
        <v>1116</v>
      </c>
      <c r="E7" s="14">
        <v>16.69946328</v>
      </c>
      <c r="F7" s="16">
        <v>1.35236289</v>
      </c>
      <c r="G7" s="14">
        <v>83.300536719999997</v>
      </c>
      <c r="H7" s="16">
        <v>1.35236289</v>
      </c>
      <c r="I7" s="14" t="s">
        <v>139</v>
      </c>
      <c r="J7" s="16" t="s">
        <v>139</v>
      </c>
      <c r="K7" s="14">
        <v>0</v>
      </c>
      <c r="L7" s="16">
        <v>0</v>
      </c>
      <c r="M7" s="14">
        <v>0</v>
      </c>
      <c r="N7" s="16">
        <v>0</v>
      </c>
      <c r="O7" s="14">
        <v>0</v>
      </c>
      <c r="P7" s="16">
        <v>0</v>
      </c>
      <c r="Q7" s="14">
        <v>0</v>
      </c>
      <c r="R7" s="16">
        <v>0</v>
      </c>
    </row>
    <row r="8" spans="1:18" x14ac:dyDescent="0.25">
      <c r="A8" s="11" t="s">
        <v>140</v>
      </c>
      <c r="B8" s="13">
        <v>3564</v>
      </c>
      <c r="C8" s="14">
        <f>(3000/B8*100)</f>
        <v>84.17508417508418</v>
      </c>
      <c r="D8" s="15">
        <v>564</v>
      </c>
      <c r="E8" s="14">
        <v>14.13087234</v>
      </c>
      <c r="F8" s="16">
        <v>1.8439287200000001</v>
      </c>
      <c r="G8" s="14">
        <v>85.869127660000004</v>
      </c>
      <c r="H8" s="16">
        <v>1.8439287200000001</v>
      </c>
      <c r="I8" s="14" t="s">
        <v>139</v>
      </c>
      <c r="J8" s="16" t="s">
        <v>139</v>
      </c>
      <c r="K8" s="14">
        <v>0</v>
      </c>
      <c r="L8" s="16">
        <v>0</v>
      </c>
      <c r="M8" s="14">
        <v>0</v>
      </c>
      <c r="N8" s="16">
        <v>0</v>
      </c>
      <c r="O8" s="14">
        <v>0</v>
      </c>
      <c r="P8" s="16">
        <v>0</v>
      </c>
      <c r="Q8" s="14">
        <v>0</v>
      </c>
      <c r="R8" s="16">
        <v>0</v>
      </c>
    </row>
    <row r="9" spans="1:18" x14ac:dyDescent="0.25">
      <c r="A9" s="11" t="s">
        <v>141</v>
      </c>
      <c r="B9" s="13">
        <v>4899</v>
      </c>
      <c r="C9" s="14">
        <f>(4175/B9*100)</f>
        <v>85.221473770157175</v>
      </c>
      <c r="D9" s="15">
        <v>724</v>
      </c>
      <c r="E9" s="14">
        <v>13.74544071</v>
      </c>
      <c r="F9" s="16">
        <v>1.3101887800000001</v>
      </c>
      <c r="G9" s="14">
        <v>86.254559290000003</v>
      </c>
      <c r="H9" s="16">
        <v>1.3101887800000001</v>
      </c>
      <c r="I9" s="14" t="s">
        <v>139</v>
      </c>
      <c r="J9" s="16" t="s">
        <v>139</v>
      </c>
      <c r="K9" s="14">
        <v>0</v>
      </c>
      <c r="L9" s="16">
        <v>0</v>
      </c>
      <c r="M9" s="14">
        <v>0</v>
      </c>
      <c r="N9" s="16">
        <v>0</v>
      </c>
      <c r="O9" s="14">
        <v>0</v>
      </c>
      <c r="P9" s="16">
        <v>0</v>
      </c>
      <c r="Q9" s="14">
        <v>0</v>
      </c>
      <c r="R9" s="16">
        <v>0</v>
      </c>
    </row>
    <row r="10" spans="1:18" x14ac:dyDescent="0.25">
      <c r="A10" s="11" t="s">
        <v>142</v>
      </c>
      <c r="B10" s="13">
        <v>10036</v>
      </c>
      <c r="C10" s="14">
        <f>(8407/B10*100)</f>
        <v>83.768433638899964</v>
      </c>
      <c r="D10" s="15">
        <v>1629</v>
      </c>
      <c r="E10" s="14">
        <v>10.701683170000001</v>
      </c>
      <c r="F10" s="16">
        <v>0.97691989999999995</v>
      </c>
      <c r="G10" s="14">
        <v>89.298316830000005</v>
      </c>
      <c r="H10" s="16">
        <v>0.97691989999999995</v>
      </c>
      <c r="I10" s="14" t="s">
        <v>139</v>
      </c>
      <c r="J10" s="16" t="s">
        <v>139</v>
      </c>
      <c r="K10" s="14">
        <v>0</v>
      </c>
      <c r="L10" s="16">
        <v>0</v>
      </c>
      <c r="M10" s="14">
        <v>0</v>
      </c>
      <c r="N10" s="16">
        <v>0</v>
      </c>
      <c r="O10" s="14">
        <v>0</v>
      </c>
      <c r="P10" s="16">
        <v>0</v>
      </c>
      <c r="Q10" s="14">
        <v>0</v>
      </c>
      <c r="R10" s="16">
        <v>0</v>
      </c>
    </row>
    <row r="11" spans="1:18" x14ac:dyDescent="0.25">
      <c r="A11" s="11" t="s">
        <v>143</v>
      </c>
      <c r="B11" s="13">
        <v>3553</v>
      </c>
      <c r="C11" s="14">
        <f>(3017/B11*100)</f>
        <v>84.914157050379956</v>
      </c>
      <c r="D11" s="15">
        <v>536</v>
      </c>
      <c r="E11" s="14">
        <v>10.36801086</v>
      </c>
      <c r="F11" s="16">
        <v>1.4210529000000001</v>
      </c>
      <c r="G11" s="14">
        <v>89.631989140000002</v>
      </c>
      <c r="H11" s="16">
        <v>1.4210529000000001</v>
      </c>
      <c r="I11" s="14" t="s">
        <v>139</v>
      </c>
      <c r="J11" s="16" t="s">
        <v>139</v>
      </c>
      <c r="K11" s="14">
        <v>0</v>
      </c>
      <c r="L11" s="16">
        <v>0</v>
      </c>
      <c r="M11" s="14">
        <v>0</v>
      </c>
      <c r="N11" s="16">
        <v>0</v>
      </c>
      <c r="O11" s="14">
        <v>0</v>
      </c>
      <c r="P11" s="16">
        <v>0</v>
      </c>
      <c r="Q11" s="14">
        <v>0</v>
      </c>
      <c r="R11" s="16">
        <v>0</v>
      </c>
    </row>
    <row r="12" spans="1:18" x14ac:dyDescent="0.25">
      <c r="A12" s="11" t="s">
        <v>144</v>
      </c>
      <c r="B12" s="13">
        <v>3472</v>
      </c>
      <c r="C12" s="14">
        <f>(2904/B12*100)</f>
        <v>83.640552995391701</v>
      </c>
      <c r="D12" s="15">
        <v>568</v>
      </c>
      <c r="E12" s="14">
        <v>12.18952492</v>
      </c>
      <c r="F12" s="16">
        <v>1.6045083</v>
      </c>
      <c r="G12" s="14">
        <v>87.810475080000003</v>
      </c>
      <c r="H12" s="16">
        <v>1.6045083</v>
      </c>
      <c r="I12" s="14" t="s">
        <v>139</v>
      </c>
      <c r="J12" s="16" t="s">
        <v>139</v>
      </c>
      <c r="K12" s="14">
        <v>0</v>
      </c>
      <c r="L12" s="16">
        <v>0</v>
      </c>
      <c r="M12" s="14">
        <v>0</v>
      </c>
      <c r="N12" s="16">
        <v>0</v>
      </c>
      <c r="O12" s="14">
        <v>0</v>
      </c>
      <c r="P12" s="16">
        <v>0</v>
      </c>
      <c r="Q12" s="14">
        <v>0</v>
      </c>
      <c r="R12" s="16">
        <v>0</v>
      </c>
    </row>
    <row r="13" spans="1:18" x14ac:dyDescent="0.25">
      <c r="A13" s="11" t="s">
        <v>145</v>
      </c>
      <c r="B13" s="13">
        <v>3559</v>
      </c>
      <c r="C13" s="14">
        <f>(3043/B13*100)</f>
        <v>85.50154537791515</v>
      </c>
      <c r="D13" s="15">
        <v>516</v>
      </c>
      <c r="E13" s="14">
        <v>10.566292519999999</v>
      </c>
      <c r="F13" s="16">
        <v>1.70239282</v>
      </c>
      <c r="G13" s="14">
        <v>89.433707479999995</v>
      </c>
      <c r="H13" s="16">
        <v>1.70239282</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(2344/B14*100)</f>
        <v>83.744194355126837</v>
      </c>
      <c r="D14" s="15">
        <v>455</v>
      </c>
      <c r="E14" s="14">
        <v>11.93438036</v>
      </c>
      <c r="F14" s="16">
        <v>1.58154145</v>
      </c>
      <c r="G14" s="14">
        <v>88.065619639999994</v>
      </c>
      <c r="H14" s="16">
        <v>1.58154145</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(2530/B15*100)</f>
        <v>83.802583636965878</v>
      </c>
      <c r="D15" s="15">
        <v>489</v>
      </c>
      <c r="E15" s="14">
        <v>9.5473584099999993</v>
      </c>
      <c r="F15" s="16">
        <v>1.4414347199999999</v>
      </c>
      <c r="G15" s="14">
        <v>90.452641589999999</v>
      </c>
      <c r="H15" s="16">
        <v>1.4414347199999999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(2544/B16*100)</f>
        <v>84.884884884884883</v>
      </c>
      <c r="D16" s="15">
        <v>453</v>
      </c>
      <c r="E16" s="14">
        <v>15.39015728</v>
      </c>
      <c r="F16" s="16">
        <v>1.7093675699999999</v>
      </c>
      <c r="G16" s="14">
        <v>84.609842720000003</v>
      </c>
      <c r="H16" s="16">
        <v>1.7093675699999999</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(2830/B17*100)</f>
        <v>85.57605080133051</v>
      </c>
      <c r="D17" s="15">
        <v>477</v>
      </c>
      <c r="E17" s="14">
        <v>14.2257014</v>
      </c>
      <c r="F17" s="16">
        <v>1.49069725</v>
      </c>
      <c r="G17" s="14">
        <v>85.774298599999995</v>
      </c>
      <c r="H17" s="16">
        <v>1.49069725</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(2365/B18*100)</f>
        <v>83.687190375088463</v>
      </c>
      <c r="D18" s="15">
        <v>461</v>
      </c>
      <c r="E18" s="14">
        <v>10.799346910000001</v>
      </c>
      <c r="F18" s="16">
        <v>1.67478211</v>
      </c>
      <c r="G18" s="14">
        <v>89.200653090000003</v>
      </c>
      <c r="H18" s="16">
        <v>1.67478211</v>
      </c>
      <c r="I18" s="14" t="s">
        <v>139</v>
      </c>
      <c r="J18" s="16" t="s">
        <v>139</v>
      </c>
      <c r="K18" s="14">
        <v>0</v>
      </c>
      <c r="L18" s="16">
        <v>0</v>
      </c>
      <c r="M18" s="14">
        <v>0</v>
      </c>
      <c r="N18" s="16">
        <v>0</v>
      </c>
      <c r="O18" s="14">
        <v>0</v>
      </c>
      <c r="P18" s="16">
        <v>0</v>
      </c>
      <c r="Q18" s="14">
        <v>0</v>
      </c>
      <c r="R18" s="16">
        <v>0</v>
      </c>
    </row>
    <row r="19" spans="1:18" x14ac:dyDescent="0.25">
      <c r="A19" s="11" t="s">
        <v>151</v>
      </c>
      <c r="B19" s="13">
        <v>2808</v>
      </c>
      <c r="C19" s="14">
        <f>(2376/B19*100)</f>
        <v>84.615384615384613</v>
      </c>
      <c r="D19" s="15">
        <v>432</v>
      </c>
      <c r="E19" s="14">
        <v>16.544409760000001</v>
      </c>
      <c r="F19" s="16">
        <v>1.8427354300000001</v>
      </c>
      <c r="G19" s="14">
        <v>83.455590240000006</v>
      </c>
      <c r="H19" s="16">
        <v>1.8427354300000001</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(1376/B20*100)</f>
        <v>84.417177914110425</v>
      </c>
      <c r="D20" s="15">
        <v>254</v>
      </c>
      <c r="E20" s="14">
        <v>16.69665294</v>
      </c>
      <c r="F20" s="16">
        <v>2.7699356800000001</v>
      </c>
      <c r="G20" s="14">
        <v>83.303347059999993</v>
      </c>
      <c r="H20" s="16">
        <v>2.7699356800000001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(2471/B22*100)</f>
        <v>84.305697714090755</v>
      </c>
      <c r="D22" s="15">
        <v>460</v>
      </c>
      <c r="E22" s="14">
        <v>16.59111115</v>
      </c>
      <c r="F22" s="16">
        <v>1.98324882</v>
      </c>
      <c r="G22" s="14">
        <v>83.408888849999997</v>
      </c>
      <c r="H22" s="16">
        <v>1.98324882</v>
      </c>
      <c r="I22" s="14" t="s">
        <v>139</v>
      </c>
      <c r="J22" s="16" t="s">
        <v>139</v>
      </c>
      <c r="K22" s="14">
        <v>0</v>
      </c>
      <c r="L22" s="16">
        <v>0</v>
      </c>
      <c r="M22" s="14">
        <v>0</v>
      </c>
      <c r="N22" s="16">
        <v>0</v>
      </c>
      <c r="O22" s="14">
        <v>0</v>
      </c>
      <c r="P22" s="16">
        <v>0</v>
      </c>
      <c r="Q22" s="14">
        <v>0</v>
      </c>
      <c r="R22" s="16">
        <v>0</v>
      </c>
    </row>
    <row r="23" spans="1:18" x14ac:dyDescent="0.25">
      <c r="A23" s="11" t="s">
        <v>156</v>
      </c>
      <c r="B23" s="13">
        <v>5791</v>
      </c>
      <c r="C23" s="14">
        <f>(4848/B23*100)</f>
        <v>83.716111207045415</v>
      </c>
      <c r="D23" s="15">
        <v>943</v>
      </c>
      <c r="E23" s="14">
        <v>12.15008628</v>
      </c>
      <c r="F23" s="16">
        <v>1.5896363200000001</v>
      </c>
      <c r="G23" s="14">
        <v>87.849913720000004</v>
      </c>
      <c r="H23" s="16">
        <v>1.5896363200000001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(2797/B24*100)</f>
        <v>83.792690233672857</v>
      </c>
      <c r="D24" s="15">
        <v>541</v>
      </c>
      <c r="E24" s="14">
        <v>9.8184696999999996</v>
      </c>
      <c r="F24" s="16">
        <v>1.41531776</v>
      </c>
      <c r="G24" s="14">
        <v>90.181530300000006</v>
      </c>
      <c r="H24" s="16">
        <v>1.41531776</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(2414/B25*100)</f>
        <v>82.89835164835165</v>
      </c>
      <c r="D25" s="15">
        <v>498</v>
      </c>
      <c r="E25" s="14">
        <v>7.5637660799999997</v>
      </c>
      <c r="F25" s="16">
        <v>1.2227654999999999</v>
      </c>
      <c r="G25" s="14">
        <v>92.436233920000006</v>
      </c>
      <c r="H25" s="16">
        <v>1.2227654999999999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(2058/B26*100)</f>
        <v>84</v>
      </c>
      <c r="D26" s="15">
        <v>392</v>
      </c>
      <c r="E26" s="14">
        <v>11.21629059</v>
      </c>
      <c r="F26" s="16">
        <v>1.6042694200000001</v>
      </c>
      <c r="G26" s="14">
        <v>88.78370941</v>
      </c>
      <c r="H26" s="16">
        <v>1.6042694200000001</v>
      </c>
      <c r="I26" s="14" t="s">
        <v>139</v>
      </c>
      <c r="J26" s="16" t="s">
        <v>139</v>
      </c>
      <c r="K26" s="14">
        <v>0</v>
      </c>
      <c r="L26" s="16">
        <v>0</v>
      </c>
      <c r="M26" s="14">
        <v>0</v>
      </c>
      <c r="N26" s="16">
        <v>0</v>
      </c>
      <c r="O26" s="14">
        <v>0</v>
      </c>
      <c r="P26" s="16">
        <v>0</v>
      </c>
      <c r="Q26" s="14">
        <v>0</v>
      </c>
      <c r="R26" s="16">
        <v>0</v>
      </c>
    </row>
    <row r="27" spans="1:18" x14ac:dyDescent="0.25">
      <c r="A27" s="11" t="s">
        <v>160</v>
      </c>
      <c r="B27" s="13">
        <v>2616</v>
      </c>
      <c r="C27" s="14">
        <f>(2229/B27*100)</f>
        <v>85.206422018348633</v>
      </c>
      <c r="D27" s="15">
        <v>387</v>
      </c>
      <c r="E27" s="14">
        <v>16.600634459999998</v>
      </c>
      <c r="F27" s="16">
        <v>1.99455548</v>
      </c>
      <c r="G27" s="14">
        <v>83.399365540000005</v>
      </c>
      <c r="H27" s="16">
        <v>1.99455548</v>
      </c>
      <c r="I27" s="14" t="s">
        <v>139</v>
      </c>
      <c r="J27" s="16" t="s">
        <v>139</v>
      </c>
      <c r="K27" s="14">
        <v>0</v>
      </c>
      <c r="L27" s="16">
        <v>0</v>
      </c>
      <c r="M27" s="14">
        <v>0</v>
      </c>
      <c r="N27" s="16">
        <v>0</v>
      </c>
      <c r="O27" s="14">
        <v>0</v>
      </c>
      <c r="P27" s="16">
        <v>0</v>
      </c>
      <c r="Q27" s="14">
        <v>0</v>
      </c>
      <c r="R27" s="16">
        <v>0</v>
      </c>
    </row>
    <row r="28" spans="1:18" x14ac:dyDescent="0.25">
      <c r="A28" s="11" t="s">
        <v>161</v>
      </c>
      <c r="B28" s="13">
        <v>3765</v>
      </c>
      <c r="C28" s="14">
        <f>(3235/B28*100)</f>
        <v>85.922974767596287</v>
      </c>
      <c r="D28" s="15">
        <v>530</v>
      </c>
      <c r="E28" s="14">
        <v>18.030978709999999</v>
      </c>
      <c r="F28" s="16">
        <v>2.13190766</v>
      </c>
      <c r="G28" s="14">
        <v>81.969021290000001</v>
      </c>
      <c r="H28" s="16">
        <v>2.13190766</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12.89673138</v>
      </c>
      <c r="F29" s="16">
        <v>1.54842451</v>
      </c>
      <c r="G29" s="14">
        <v>87.103268619999994</v>
      </c>
      <c r="H29" s="16">
        <v>1.54842451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(1921/B30*100)</f>
        <v>84.887317719840922</v>
      </c>
      <c r="D30" s="15">
        <v>342</v>
      </c>
      <c r="E30" s="14">
        <v>15.03435226</v>
      </c>
      <c r="F30" s="16">
        <v>2.0262756099999999</v>
      </c>
      <c r="G30" s="14">
        <v>84.965647739999994</v>
      </c>
      <c r="H30" s="16">
        <v>2.0262756099999999</v>
      </c>
      <c r="I30" s="14" t="s">
        <v>139</v>
      </c>
      <c r="J30" s="16" t="s">
        <v>139</v>
      </c>
      <c r="K30" s="14">
        <v>0</v>
      </c>
      <c r="L30" s="16">
        <v>0</v>
      </c>
      <c r="M30" s="14">
        <v>0</v>
      </c>
      <c r="N30" s="16">
        <v>0</v>
      </c>
      <c r="O30" s="14">
        <v>0</v>
      </c>
      <c r="P30" s="16">
        <v>0</v>
      </c>
      <c r="Q30" s="14">
        <v>0</v>
      </c>
      <c r="R30" s="16">
        <v>0</v>
      </c>
    </row>
    <row r="31" spans="1:18" x14ac:dyDescent="0.25">
      <c r="A31" s="11" t="s">
        <v>164</v>
      </c>
      <c r="B31" s="13">
        <v>2750</v>
      </c>
      <c r="C31" s="14">
        <f>(2318/B31*100)</f>
        <v>84.290909090909096</v>
      </c>
      <c r="D31" s="15">
        <v>432</v>
      </c>
      <c r="E31" s="14">
        <v>16.554469910000002</v>
      </c>
      <c r="F31" s="16">
        <v>1.8851579199999999</v>
      </c>
      <c r="G31" s="14">
        <v>83.445530090000005</v>
      </c>
      <c r="H31" s="16">
        <v>1.8851579199999999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(3117/B33*100)</f>
        <v>84.839412084921065</v>
      </c>
      <c r="D33" s="15">
        <v>557</v>
      </c>
      <c r="E33" s="14">
        <v>13.63415812</v>
      </c>
      <c r="F33" s="16">
        <v>1.7432877</v>
      </c>
      <c r="G33" s="14">
        <v>86.365841880000005</v>
      </c>
      <c r="H33" s="16">
        <v>1.7432877</v>
      </c>
      <c r="I33" s="14" t="s">
        <v>139</v>
      </c>
      <c r="J33" s="16" t="s">
        <v>139</v>
      </c>
      <c r="K33" s="14">
        <v>0</v>
      </c>
      <c r="L33" s="16">
        <v>0</v>
      </c>
      <c r="M33" s="14">
        <v>0</v>
      </c>
      <c r="N33" s="16">
        <v>0</v>
      </c>
      <c r="O33" s="14">
        <v>0</v>
      </c>
      <c r="P33" s="16">
        <v>0</v>
      </c>
      <c r="Q33" s="14">
        <v>0</v>
      </c>
      <c r="R33" s="16">
        <v>0</v>
      </c>
    </row>
    <row r="34" spans="1:18" x14ac:dyDescent="0.25">
      <c r="A34" s="11" t="s">
        <v>167</v>
      </c>
      <c r="B34" s="13">
        <v>3315</v>
      </c>
      <c r="C34" s="14">
        <f>(2819/B34*100)</f>
        <v>85.037707390648563</v>
      </c>
      <c r="D34" s="15">
        <v>496</v>
      </c>
      <c r="E34" s="14">
        <v>17.81211631</v>
      </c>
      <c r="F34" s="16">
        <v>2.02578017</v>
      </c>
      <c r="G34" s="14">
        <v>82.187883690000007</v>
      </c>
      <c r="H34" s="16">
        <v>2.02578017</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(2950/B35*100)</f>
        <v>84.165477888730393</v>
      </c>
      <c r="D35" s="15">
        <v>555</v>
      </c>
      <c r="E35" s="14">
        <v>9.5740443600000003</v>
      </c>
      <c r="F35" s="16">
        <v>1.6392493800000001</v>
      </c>
      <c r="G35" s="14">
        <v>90.425955639999998</v>
      </c>
      <c r="H35" s="16">
        <v>1.6392493800000001</v>
      </c>
      <c r="I35" s="14" t="s">
        <v>139</v>
      </c>
      <c r="J35" s="16" t="s">
        <v>139</v>
      </c>
      <c r="K35" s="14">
        <v>0</v>
      </c>
      <c r="L35" s="16">
        <v>0</v>
      </c>
      <c r="M35" s="14">
        <v>0</v>
      </c>
      <c r="N35" s="16">
        <v>0</v>
      </c>
      <c r="O35" s="14">
        <v>0</v>
      </c>
      <c r="P35" s="16">
        <v>0</v>
      </c>
      <c r="Q35" s="14">
        <v>0</v>
      </c>
      <c r="R35" s="16">
        <v>0</v>
      </c>
    </row>
    <row r="36" spans="1:18" x14ac:dyDescent="0.25">
      <c r="A36" s="11" t="s">
        <v>169</v>
      </c>
      <c r="B36" s="13">
        <v>3332</v>
      </c>
      <c r="C36" s="14">
        <f>(2807/B36*100)</f>
        <v>84.243697478991592</v>
      </c>
      <c r="D36" s="15">
        <v>525</v>
      </c>
      <c r="E36" s="14">
        <v>12.37782447</v>
      </c>
      <c r="F36" s="16">
        <v>1.6716596100000001</v>
      </c>
      <c r="G36" s="14">
        <v>87.622175530000007</v>
      </c>
      <c r="H36" s="16">
        <v>1.6716596100000001</v>
      </c>
      <c r="I36" s="14" t="s">
        <v>139</v>
      </c>
      <c r="J36" s="16" t="s">
        <v>139</v>
      </c>
      <c r="K36" s="14">
        <v>0</v>
      </c>
      <c r="L36" s="16">
        <v>0</v>
      </c>
      <c r="M36" s="14">
        <v>0</v>
      </c>
      <c r="N36" s="16">
        <v>0</v>
      </c>
      <c r="O36" s="14">
        <v>0</v>
      </c>
      <c r="P36" s="16">
        <v>0</v>
      </c>
      <c r="Q36" s="14">
        <v>0</v>
      </c>
      <c r="R36" s="16">
        <v>0</v>
      </c>
    </row>
    <row r="37" spans="1:18" x14ac:dyDescent="0.25">
      <c r="A37" s="11" t="s">
        <v>170</v>
      </c>
      <c r="B37" s="13">
        <v>2727</v>
      </c>
      <c r="C37" s="14">
        <f>(2325/B37*100)</f>
        <v>85.258525852585251</v>
      </c>
      <c r="D37" s="15">
        <v>402</v>
      </c>
      <c r="E37" s="14">
        <v>17.85335151</v>
      </c>
      <c r="F37" s="16">
        <v>1.9137067299999999</v>
      </c>
      <c r="G37" s="14">
        <v>82.146648490000004</v>
      </c>
      <c r="H37" s="16">
        <v>1.9137067299999999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(2450/B39*100)</f>
        <v>82.854244166384845</v>
      </c>
      <c r="D39" s="15">
        <v>507</v>
      </c>
      <c r="E39" s="14">
        <v>18.126151610000001</v>
      </c>
      <c r="F39" s="16">
        <v>2.08275576</v>
      </c>
      <c r="G39" s="14">
        <v>81.873848390000006</v>
      </c>
      <c r="H39" s="16">
        <v>2.08275576</v>
      </c>
      <c r="I39" s="14" t="s">
        <v>139</v>
      </c>
      <c r="J39" s="16" t="s">
        <v>139</v>
      </c>
      <c r="K39" s="14">
        <v>0</v>
      </c>
      <c r="L39" s="16">
        <v>0</v>
      </c>
      <c r="M39" s="14">
        <v>0</v>
      </c>
      <c r="N39" s="16">
        <v>0</v>
      </c>
      <c r="O39" s="14">
        <v>0</v>
      </c>
      <c r="P39" s="16">
        <v>0</v>
      </c>
      <c r="Q39" s="14">
        <v>0</v>
      </c>
      <c r="R39" s="16">
        <v>0</v>
      </c>
    </row>
    <row r="40" spans="1:18" x14ac:dyDescent="0.25">
      <c r="A40" s="11" t="s">
        <v>173</v>
      </c>
      <c r="B40" s="13">
        <v>7235</v>
      </c>
      <c r="C40" s="14">
        <f>(6051/B40*100)</f>
        <v>83.63510711817554</v>
      </c>
      <c r="D40" s="15">
        <v>1184</v>
      </c>
      <c r="E40" s="14">
        <v>15.614293350000001</v>
      </c>
      <c r="F40" s="16">
        <v>1.3626956100000001</v>
      </c>
      <c r="G40" s="14">
        <v>84.385706650000003</v>
      </c>
      <c r="H40" s="16">
        <v>1.3626956100000001</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(2413/B41*100)</f>
        <v>84.429671098670397</v>
      </c>
      <c r="D41" s="15">
        <v>445</v>
      </c>
      <c r="E41" s="14">
        <v>11.46227378</v>
      </c>
      <c r="F41" s="16">
        <v>1.5903573499999999</v>
      </c>
      <c r="G41" s="14">
        <v>88.537726219999996</v>
      </c>
      <c r="H41" s="16">
        <v>1.5903573499999999</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84.360144335157372</v>
      </c>
      <c r="D42" s="15">
        <f>IF(COUNT(D7:D41) &gt; 0, AVERAGE(D7:D41), "—")</f>
        <v>572.5</v>
      </c>
      <c r="E42" s="14">
        <f>IF(COUNT(E7:E41) &gt; 0, AVERAGE(E7:E41), "—")</f>
        <v>13.639074965312503</v>
      </c>
      <c r="F42" s="16">
        <f>IF(COUNT(F7:F41) &gt; 0, SQRT(SUMSQ(F7:F41)/(COUNT(F7:F41)*COUNT(F7:F41)) ), "—")</f>
        <v>0.30476613854145623</v>
      </c>
      <c r="G42" s="14">
        <f>IF(COUNT(G7:G41) &gt; 0, AVERAGE(G7:G41), "—")</f>
        <v>86.360925034687511</v>
      </c>
      <c r="H42" s="16">
        <f>IF(COUNT(H7:H41) &gt; 0, SQRT(SUMSQ(H7:H41)/(COUNT(H7:H41)*COUNT(H7:H41)) ), "—")</f>
        <v>0.30476613854145623</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(9912/B46*100)</f>
        <v>89.555475243946518</v>
      </c>
      <c r="D46" s="15">
        <v>1156</v>
      </c>
      <c r="E46" s="14">
        <v>16.756292810000001</v>
      </c>
      <c r="F46" s="16">
        <v>1.47861278</v>
      </c>
      <c r="G46" s="14">
        <v>83.243707189999995</v>
      </c>
      <c r="H46" s="16">
        <v>1.47861278</v>
      </c>
      <c r="I46" s="14" t="s">
        <v>139</v>
      </c>
      <c r="J46" s="16" t="s">
        <v>139</v>
      </c>
      <c r="K46" s="14">
        <v>0</v>
      </c>
      <c r="L46" s="16">
        <v>0</v>
      </c>
      <c r="M46" s="14">
        <v>0</v>
      </c>
      <c r="N46" s="16">
        <v>0</v>
      </c>
      <c r="O46" s="14">
        <v>0</v>
      </c>
      <c r="P46" s="16">
        <v>0</v>
      </c>
      <c r="Q46" s="14">
        <v>0</v>
      </c>
      <c r="R46" s="16">
        <v>0</v>
      </c>
    </row>
    <row r="47" spans="1:18" x14ac:dyDescent="0.25">
      <c r="A47" s="11" t="s">
        <v>180</v>
      </c>
      <c r="B47" s="13">
        <v>3105</v>
      </c>
      <c r="C47" s="14">
        <f>(2646/B47*100)</f>
        <v>85.217391304347828</v>
      </c>
      <c r="D47" s="15">
        <v>459</v>
      </c>
      <c r="E47" s="14">
        <v>18.977530340000001</v>
      </c>
      <c r="F47" s="16">
        <v>1.73684024</v>
      </c>
      <c r="G47" s="14">
        <v>81.022469659999999</v>
      </c>
      <c r="H47" s="16">
        <v>1.73684024</v>
      </c>
      <c r="I47" s="14" t="s">
        <v>139</v>
      </c>
      <c r="J47" s="16" t="s">
        <v>139</v>
      </c>
      <c r="K47" s="14">
        <v>0</v>
      </c>
      <c r="L47" s="16">
        <v>0</v>
      </c>
      <c r="M47" s="14">
        <v>0</v>
      </c>
      <c r="N47" s="16">
        <v>0</v>
      </c>
      <c r="O47" s="14">
        <v>0</v>
      </c>
      <c r="P47" s="16">
        <v>0</v>
      </c>
      <c r="Q47" s="14">
        <v>0</v>
      </c>
      <c r="R47" s="16">
        <v>0</v>
      </c>
    </row>
    <row r="48" spans="1:18" x14ac:dyDescent="0.25">
      <c r="A48" s="11" t="s">
        <v>181</v>
      </c>
      <c r="B48" s="13">
        <v>5159</v>
      </c>
      <c r="C48" s="14">
        <f>(4306/B48*100)</f>
        <v>83.465787943399889</v>
      </c>
      <c r="D48" s="15">
        <v>853</v>
      </c>
      <c r="E48" s="14">
        <v>15.42452961</v>
      </c>
      <c r="F48" s="16">
        <v>1.2643422200000001</v>
      </c>
      <c r="G48" s="14">
        <v>84.575470390000007</v>
      </c>
      <c r="H48" s="16">
        <v>1.2643422200000001</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(4802/B50*100)</f>
        <v>85.187156288806094</v>
      </c>
      <c r="D50" s="15">
        <v>835</v>
      </c>
      <c r="E50" s="14">
        <v>15.92953342</v>
      </c>
      <c r="F50" s="16">
        <v>1.86505356</v>
      </c>
      <c r="G50" s="14">
        <v>84.070466580000001</v>
      </c>
      <c r="H50" s="16">
        <v>1.86505356</v>
      </c>
      <c r="I50" s="14" t="s">
        <v>139</v>
      </c>
      <c r="J50" s="16" t="s">
        <v>139</v>
      </c>
      <c r="K50" s="14">
        <v>0</v>
      </c>
      <c r="L50" s="16">
        <v>0</v>
      </c>
      <c r="M50" s="14">
        <v>0</v>
      </c>
      <c r="N50" s="16">
        <v>0</v>
      </c>
      <c r="O50" s="14">
        <v>0</v>
      </c>
      <c r="P50" s="16">
        <v>0</v>
      </c>
      <c r="Q50" s="14">
        <v>0</v>
      </c>
      <c r="R50" s="16">
        <v>0</v>
      </c>
    </row>
    <row r="51" spans="1:18" x14ac:dyDescent="0.25">
      <c r="A51" s="11" t="s">
        <v>184</v>
      </c>
      <c r="B51" s="13">
        <v>3372</v>
      </c>
      <c r="C51" s="14">
        <f>(2916/B51*100)</f>
        <v>86.47686832740213</v>
      </c>
      <c r="D51" s="15">
        <v>456</v>
      </c>
      <c r="E51" s="14">
        <v>10.95320143</v>
      </c>
      <c r="F51" s="16">
        <v>1.54716381</v>
      </c>
      <c r="G51" s="14">
        <v>89.046798570000007</v>
      </c>
      <c r="H51" s="16">
        <v>1.54716381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(2369/B52*100)</f>
        <v>84.728183118741057</v>
      </c>
      <c r="D52" s="15">
        <v>427</v>
      </c>
      <c r="E52" s="14">
        <v>15.58372172</v>
      </c>
      <c r="F52" s="16">
        <v>1.6863402300000001</v>
      </c>
      <c r="G52" s="14">
        <v>84.41627828</v>
      </c>
      <c r="H52" s="16">
        <v>1.6863402300000001</v>
      </c>
      <c r="I52" s="14" t="s">
        <v>139</v>
      </c>
      <c r="J52" s="16" t="s">
        <v>139</v>
      </c>
      <c r="K52" s="14">
        <v>0</v>
      </c>
      <c r="L52" s="16">
        <v>0</v>
      </c>
      <c r="M52" s="14">
        <v>0</v>
      </c>
      <c r="N52" s="16">
        <v>0</v>
      </c>
      <c r="O52" s="14">
        <v>0</v>
      </c>
      <c r="P52" s="16">
        <v>0</v>
      </c>
      <c r="Q52" s="14">
        <v>0</v>
      </c>
      <c r="R52" s="16">
        <v>0</v>
      </c>
    </row>
    <row r="53" spans="1:18" x14ac:dyDescent="0.25">
      <c r="A53" s="11" t="s">
        <v>186</v>
      </c>
      <c r="B53" s="13">
        <v>2811</v>
      </c>
      <c r="C53" s="14">
        <f>(2373/B53*100)</f>
        <v>84.418356456776948</v>
      </c>
      <c r="D53" s="15">
        <v>438</v>
      </c>
      <c r="E53" s="14">
        <v>22.123632000000001</v>
      </c>
      <c r="F53" s="16">
        <v>2.2924984300000002</v>
      </c>
      <c r="G53" s="14">
        <v>77.876367999999999</v>
      </c>
      <c r="H53" s="16">
        <v>2.2924984300000002</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(2251/B56*100)</f>
        <v>83.867362146050667</v>
      </c>
      <c r="D56" s="15">
        <v>433</v>
      </c>
      <c r="E56" s="14">
        <v>11.34009146</v>
      </c>
      <c r="F56" s="16">
        <v>1.3044613599999999</v>
      </c>
      <c r="G56" s="14">
        <v>88.659908540000004</v>
      </c>
      <c r="H56" s="16">
        <v>1.3044613599999999</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(2819/B61*100)</f>
        <v>84.807460890493374</v>
      </c>
      <c r="D61" s="15">
        <v>505</v>
      </c>
      <c r="E61" s="14">
        <v>14.23031995</v>
      </c>
      <c r="F61" s="16">
        <v>1.5983495599999999</v>
      </c>
      <c r="G61" s="14">
        <v>85.769680050000005</v>
      </c>
      <c r="H61" s="16">
        <v>1.5983495599999999</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(1872/B62*100)</f>
        <v>83.348174532502227</v>
      </c>
      <c r="D62" s="15">
        <v>374</v>
      </c>
      <c r="E62" s="14">
        <v>13.367435260000001</v>
      </c>
      <c r="F62" s="16">
        <v>1.59880113</v>
      </c>
      <c r="G62" s="14">
        <v>86.632564740000007</v>
      </c>
      <c r="H62" s="16">
        <v>1.59880113</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(2468/B66*100)</f>
        <v>85.27988942639945</v>
      </c>
      <c r="D66" s="15">
        <v>426</v>
      </c>
      <c r="E66" s="14">
        <v>21.94531834</v>
      </c>
      <c r="F66" s="16">
        <v>1.88895046</v>
      </c>
      <c r="G66" s="14">
        <v>78.05468166</v>
      </c>
      <c r="H66" s="16">
        <v>1.88895046</v>
      </c>
      <c r="I66" s="14" t="s">
        <v>139</v>
      </c>
      <c r="J66" s="16" t="s">
        <v>139</v>
      </c>
      <c r="K66" s="14">
        <v>0</v>
      </c>
      <c r="L66" s="16">
        <v>0</v>
      </c>
      <c r="M66" s="14">
        <v>0</v>
      </c>
      <c r="N66" s="16">
        <v>0</v>
      </c>
      <c r="O66" s="14">
        <v>0</v>
      </c>
      <c r="P66" s="16">
        <v>0</v>
      </c>
      <c r="Q66" s="14">
        <v>0</v>
      </c>
      <c r="R66" s="16">
        <v>0</v>
      </c>
    </row>
    <row r="67" spans="1:18" x14ac:dyDescent="0.25">
      <c r="A67" s="11" t="s">
        <v>200</v>
      </c>
      <c r="B67" s="13">
        <v>3511</v>
      </c>
      <c r="C67" s="14">
        <f>(3050/B67*100)</f>
        <v>86.869837653090286</v>
      </c>
      <c r="D67" s="15">
        <v>461</v>
      </c>
      <c r="E67" s="14">
        <v>19.19342207</v>
      </c>
      <c r="F67" s="16">
        <v>2.0817101899999999</v>
      </c>
      <c r="G67" s="14">
        <v>80.806577930000003</v>
      </c>
      <c r="H67" s="16">
        <v>2.0817101899999999</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(2476/B70*100)</f>
        <v>84.533970638443151</v>
      </c>
      <c r="D70" s="15">
        <v>453</v>
      </c>
      <c r="E70" s="14">
        <v>9.8036331800000003</v>
      </c>
      <c r="F70" s="16">
        <v>1.75866598</v>
      </c>
      <c r="G70" s="14">
        <v>90.196366819999994</v>
      </c>
      <c r="H70" s="16">
        <v>1.75866598</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(3217/B72*100)</f>
        <v>82.72049370018</v>
      </c>
      <c r="D72" s="15">
        <v>672</v>
      </c>
      <c r="E72" s="14">
        <v>11.064389800000001</v>
      </c>
      <c r="F72" s="16">
        <v>1.29116144</v>
      </c>
      <c r="G72" s="14">
        <v>88.935610199999999</v>
      </c>
      <c r="H72" s="16">
        <v>1.29116144</v>
      </c>
      <c r="I72" s="14" t="s">
        <v>139</v>
      </c>
      <c r="J72" s="16" t="s">
        <v>139</v>
      </c>
      <c r="K72" s="14">
        <v>0</v>
      </c>
      <c r="L72" s="16">
        <v>0</v>
      </c>
      <c r="M72" s="14">
        <v>0</v>
      </c>
      <c r="N72" s="16">
        <v>0</v>
      </c>
      <c r="O72" s="14">
        <v>0</v>
      </c>
      <c r="P72" s="16">
        <v>0</v>
      </c>
      <c r="Q72" s="14">
        <v>0</v>
      </c>
      <c r="R72" s="16">
        <v>0</v>
      </c>
    </row>
    <row r="73" spans="1:18" x14ac:dyDescent="0.25">
      <c r="A73" s="11" t="s">
        <v>206</v>
      </c>
      <c r="B73" s="13">
        <v>3597</v>
      </c>
      <c r="C73" s="14">
        <f>(3056/B73*100)</f>
        <v>84.959688629413392</v>
      </c>
      <c r="D73" s="15">
        <v>541</v>
      </c>
      <c r="E73" s="14">
        <v>20.07766518</v>
      </c>
      <c r="F73" s="16">
        <v>1.97501327</v>
      </c>
      <c r="G73" s="14">
        <v>79.922334820000003</v>
      </c>
      <c r="H73" s="16">
        <v>1.97501327</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(2069/B75*100)</f>
        <v>85.993349958437236</v>
      </c>
      <c r="D75" s="15">
        <v>337</v>
      </c>
      <c r="E75" s="14">
        <v>26.249830190000001</v>
      </c>
      <c r="F75" s="16">
        <v>2.3928858700000002</v>
      </c>
      <c r="G75" s="14">
        <v>73.750169810000003</v>
      </c>
      <c r="H75" s="16">
        <v>2.3928858700000002</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18.5702721</v>
      </c>
      <c r="F76" s="16">
        <v>1.3193559500000001</v>
      </c>
      <c r="G76" s="14">
        <v>81.429727900000003</v>
      </c>
      <c r="H76" s="16">
        <v>1.3193559500000001</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(2508/B77*100)</f>
        <v>86.244841815680886</v>
      </c>
      <c r="D77" s="15">
        <v>400</v>
      </c>
      <c r="E77" s="14">
        <v>15.02666178</v>
      </c>
      <c r="F77" s="16">
        <v>1.80319502</v>
      </c>
      <c r="G77" s="14">
        <v>84.973338220000002</v>
      </c>
      <c r="H77" s="16">
        <v>1.80319502</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(3479/B81*100)</f>
        <v>83.5695411962527</v>
      </c>
      <c r="D81" s="15">
        <v>684</v>
      </c>
      <c r="E81" s="14">
        <v>10.31902109</v>
      </c>
      <c r="F81" s="16">
        <v>1.535944</v>
      </c>
      <c r="G81" s="14">
        <v>89.680978909999993</v>
      </c>
      <c r="H81" s="16">
        <v>1.535944</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R96"/>
  <sheetViews>
    <sheetView zoomScale="80" workbookViewId="0">
      <pane xSplit="4" topLeftCell="E1" activePane="topRight" state="frozen"/>
      <selection pane="topRight" sqref="A1:R1"/>
    </sheetView>
  </sheetViews>
  <sheetFormatPr defaultColWidth="11.42578125" defaultRowHeight="15" x14ac:dyDescent="0.25"/>
  <cols>
    <col min="1" max="1" width="50" customWidth="1"/>
  </cols>
  <sheetData>
    <row r="1" spans="1:18" x14ac:dyDescent="0.25">
      <c r="A1" s="25" t="s">
        <v>122</v>
      </c>
      <c r="B1" s="26"/>
      <c r="C1" s="26"/>
      <c r="D1" s="26"/>
      <c r="E1" s="26"/>
      <c r="F1" s="26"/>
      <c r="G1" s="26"/>
      <c r="H1" s="26"/>
      <c r="I1" s="26"/>
      <c r="J1" s="26"/>
      <c r="K1" s="26"/>
      <c r="L1" s="26"/>
      <c r="M1" s="26"/>
      <c r="N1" s="26"/>
      <c r="O1" s="26"/>
      <c r="P1" s="26"/>
      <c r="Q1" s="26"/>
      <c r="R1" s="26"/>
    </row>
    <row r="2" spans="1:18" x14ac:dyDescent="0.25">
      <c r="A2" s="27" t="s">
        <v>339</v>
      </c>
      <c r="B2" s="26"/>
      <c r="C2" s="26"/>
      <c r="D2" s="26"/>
      <c r="E2" s="26"/>
      <c r="F2" s="26"/>
      <c r="G2" s="26"/>
      <c r="H2" s="26"/>
      <c r="I2" s="26"/>
      <c r="J2" s="26"/>
      <c r="K2" s="26"/>
      <c r="L2" s="26"/>
      <c r="M2" s="26"/>
      <c r="N2" s="26"/>
      <c r="O2" s="26"/>
      <c r="P2" s="26"/>
      <c r="Q2" s="26"/>
      <c r="R2" s="26"/>
    </row>
    <row r="4" spans="1:18" ht="30" customHeight="1" x14ac:dyDescent="0.25">
      <c r="A4" s="4"/>
      <c r="B4" s="5" t="s">
        <v>123</v>
      </c>
      <c r="C4" s="5" t="s">
        <v>124</v>
      </c>
      <c r="D4" s="6" t="s">
        <v>123</v>
      </c>
      <c r="E4" s="23" t="s">
        <v>125</v>
      </c>
      <c r="F4" s="24"/>
      <c r="G4" s="23" t="s">
        <v>126</v>
      </c>
      <c r="H4" s="24"/>
      <c r="I4" s="23" t="s">
        <v>127</v>
      </c>
      <c r="J4" s="24"/>
      <c r="K4" s="23" t="s">
        <v>128</v>
      </c>
      <c r="L4" s="24"/>
      <c r="M4" s="23" t="s">
        <v>129</v>
      </c>
      <c r="N4" s="24"/>
      <c r="O4" s="23" t="s">
        <v>130</v>
      </c>
      <c r="P4" s="24"/>
      <c r="Q4" s="23" t="s">
        <v>131</v>
      </c>
      <c r="R4" s="24"/>
    </row>
    <row r="5" spans="1:18"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row>
    <row r="6" spans="1:18" x14ac:dyDescent="0.25">
      <c r="A6" s="9" t="s">
        <v>137</v>
      </c>
      <c r="B6" s="10"/>
      <c r="C6" s="10"/>
      <c r="D6" s="11"/>
      <c r="E6" s="10"/>
      <c r="F6" s="11"/>
      <c r="G6" s="10"/>
      <c r="H6" s="11"/>
      <c r="I6" s="10"/>
      <c r="J6" s="11"/>
      <c r="K6" s="10"/>
      <c r="L6" s="11"/>
      <c r="M6" s="10"/>
      <c r="N6" s="11"/>
      <c r="O6" s="10"/>
      <c r="P6" s="11"/>
      <c r="Q6" s="10"/>
      <c r="R6" s="12"/>
    </row>
    <row r="7" spans="1:18" x14ac:dyDescent="0.25">
      <c r="A7" s="11" t="s">
        <v>138</v>
      </c>
      <c r="B7" s="13">
        <v>7367</v>
      </c>
      <c r="C7" s="14">
        <f>(6259/B7*100)</f>
        <v>84.959956563051435</v>
      </c>
      <c r="D7" s="15">
        <v>1108</v>
      </c>
      <c r="E7" s="14">
        <v>73.577234039999993</v>
      </c>
      <c r="F7" s="16">
        <v>1.98473875</v>
      </c>
      <c r="G7" s="14">
        <v>26.42276596</v>
      </c>
      <c r="H7" s="16">
        <v>1.98473875</v>
      </c>
      <c r="I7" s="14" t="s">
        <v>139</v>
      </c>
      <c r="J7" s="16" t="s">
        <v>139</v>
      </c>
      <c r="K7" s="14">
        <v>0</v>
      </c>
      <c r="L7" s="16">
        <v>0</v>
      </c>
      <c r="M7" s="14">
        <v>0</v>
      </c>
      <c r="N7" s="16">
        <v>0</v>
      </c>
      <c r="O7" s="14">
        <v>0</v>
      </c>
      <c r="P7" s="16">
        <v>0</v>
      </c>
      <c r="Q7" s="14">
        <v>0</v>
      </c>
      <c r="R7" s="16">
        <v>0</v>
      </c>
    </row>
    <row r="8" spans="1:18" x14ac:dyDescent="0.25">
      <c r="A8" s="11" t="s">
        <v>140</v>
      </c>
      <c r="B8" s="13">
        <v>3564</v>
      </c>
      <c r="C8" s="14">
        <f>(3007/B8*100)</f>
        <v>84.371492704826039</v>
      </c>
      <c r="D8" s="15">
        <v>557</v>
      </c>
      <c r="E8" s="14">
        <v>68.157049709999995</v>
      </c>
      <c r="F8" s="16">
        <v>1.87671707</v>
      </c>
      <c r="G8" s="14">
        <v>31.842950290000001</v>
      </c>
      <c r="H8" s="16">
        <v>1.87671707</v>
      </c>
      <c r="I8" s="14" t="s">
        <v>139</v>
      </c>
      <c r="J8" s="16" t="s">
        <v>139</v>
      </c>
      <c r="K8" s="14">
        <v>0</v>
      </c>
      <c r="L8" s="16">
        <v>0</v>
      </c>
      <c r="M8" s="14">
        <v>0</v>
      </c>
      <c r="N8" s="16">
        <v>0</v>
      </c>
      <c r="O8" s="14">
        <v>0</v>
      </c>
      <c r="P8" s="16">
        <v>0</v>
      </c>
      <c r="Q8" s="14">
        <v>0</v>
      </c>
      <c r="R8" s="16">
        <v>0</v>
      </c>
    </row>
    <row r="9" spans="1:18" x14ac:dyDescent="0.25">
      <c r="A9" s="11" t="s">
        <v>141</v>
      </c>
      <c r="B9" s="13">
        <v>4899</v>
      </c>
      <c r="C9" s="14">
        <f>(4184/B9*100)</f>
        <v>85.405184731577876</v>
      </c>
      <c r="D9" s="15">
        <v>715</v>
      </c>
      <c r="E9" s="14">
        <v>72.477224050000004</v>
      </c>
      <c r="F9" s="16">
        <v>1.8788239099999999</v>
      </c>
      <c r="G9" s="14">
        <v>27.52277595</v>
      </c>
      <c r="H9" s="16">
        <v>1.8788239099999999</v>
      </c>
      <c r="I9" s="14" t="s">
        <v>139</v>
      </c>
      <c r="J9" s="16" t="s">
        <v>139</v>
      </c>
      <c r="K9" s="14">
        <v>0</v>
      </c>
      <c r="L9" s="16">
        <v>0</v>
      </c>
      <c r="M9" s="14">
        <v>0</v>
      </c>
      <c r="N9" s="16">
        <v>0</v>
      </c>
      <c r="O9" s="14">
        <v>0</v>
      </c>
      <c r="P9" s="16">
        <v>0</v>
      </c>
      <c r="Q9" s="14">
        <v>0</v>
      </c>
      <c r="R9" s="16">
        <v>0</v>
      </c>
    </row>
    <row r="10" spans="1:18" x14ac:dyDescent="0.25">
      <c r="A10" s="11" t="s">
        <v>142</v>
      </c>
      <c r="B10" s="13">
        <v>10036</v>
      </c>
      <c r="C10" s="14">
        <f>(8415/B10*100)</f>
        <v>83.848146671980871</v>
      </c>
      <c r="D10" s="15">
        <v>1621</v>
      </c>
      <c r="E10" s="14">
        <v>72.467332110000001</v>
      </c>
      <c r="F10" s="16">
        <v>1.66445887</v>
      </c>
      <c r="G10" s="14">
        <v>27.532667889999999</v>
      </c>
      <c r="H10" s="16">
        <v>1.66445887</v>
      </c>
      <c r="I10" s="14" t="s">
        <v>139</v>
      </c>
      <c r="J10" s="16" t="s">
        <v>139</v>
      </c>
      <c r="K10" s="14">
        <v>0</v>
      </c>
      <c r="L10" s="16">
        <v>0</v>
      </c>
      <c r="M10" s="14">
        <v>0</v>
      </c>
      <c r="N10" s="16">
        <v>0</v>
      </c>
      <c r="O10" s="14">
        <v>0</v>
      </c>
      <c r="P10" s="16">
        <v>0</v>
      </c>
      <c r="Q10" s="14">
        <v>0</v>
      </c>
      <c r="R10" s="16">
        <v>0</v>
      </c>
    </row>
    <row r="11" spans="1:18" x14ac:dyDescent="0.25">
      <c r="A11" s="11" t="s">
        <v>143</v>
      </c>
      <c r="B11" s="13">
        <v>3553</v>
      </c>
      <c r="C11" s="14">
        <f>(3027/B11*100)</f>
        <v>85.195609344216152</v>
      </c>
      <c r="D11" s="15">
        <v>526</v>
      </c>
      <c r="E11" s="14">
        <v>83.586669150000006</v>
      </c>
      <c r="F11" s="16">
        <v>1.6864244399999999</v>
      </c>
      <c r="G11" s="14">
        <v>16.413330850000001</v>
      </c>
      <c r="H11" s="16">
        <v>1.6864244399999999</v>
      </c>
      <c r="I11" s="14" t="s">
        <v>139</v>
      </c>
      <c r="J11" s="16" t="s">
        <v>139</v>
      </c>
      <c r="K11" s="14">
        <v>0</v>
      </c>
      <c r="L11" s="16">
        <v>0</v>
      </c>
      <c r="M11" s="14">
        <v>0</v>
      </c>
      <c r="N11" s="16">
        <v>0</v>
      </c>
      <c r="O11" s="14">
        <v>0</v>
      </c>
      <c r="P11" s="16">
        <v>0</v>
      </c>
      <c r="Q11" s="14">
        <v>0</v>
      </c>
      <c r="R11" s="16">
        <v>0</v>
      </c>
    </row>
    <row r="12" spans="1:18" x14ac:dyDescent="0.25">
      <c r="A12" s="11" t="s">
        <v>144</v>
      </c>
      <c r="B12" s="13">
        <v>3472</v>
      </c>
      <c r="C12" s="14">
        <f>(2912/B12*100)</f>
        <v>83.870967741935488</v>
      </c>
      <c r="D12" s="15">
        <v>560</v>
      </c>
      <c r="E12" s="14">
        <v>72.795887710000002</v>
      </c>
      <c r="F12" s="16">
        <v>2.2892494999999999</v>
      </c>
      <c r="G12" s="14">
        <v>27.204112290000001</v>
      </c>
      <c r="H12" s="16">
        <v>2.2892494999999999</v>
      </c>
      <c r="I12" s="14" t="s">
        <v>139</v>
      </c>
      <c r="J12" s="16" t="s">
        <v>139</v>
      </c>
      <c r="K12" s="14">
        <v>0</v>
      </c>
      <c r="L12" s="16">
        <v>0</v>
      </c>
      <c r="M12" s="14">
        <v>0</v>
      </c>
      <c r="N12" s="16">
        <v>0</v>
      </c>
      <c r="O12" s="14">
        <v>0</v>
      </c>
      <c r="P12" s="16">
        <v>0</v>
      </c>
      <c r="Q12" s="14">
        <v>0</v>
      </c>
      <c r="R12" s="16">
        <v>0</v>
      </c>
    </row>
    <row r="13" spans="1:18" x14ac:dyDescent="0.25">
      <c r="A13" s="11" t="s">
        <v>145</v>
      </c>
      <c r="B13" s="13">
        <v>3559</v>
      </c>
      <c r="C13" s="14">
        <f>(3049/B13*100)</f>
        <v>85.670132059567294</v>
      </c>
      <c r="D13" s="15">
        <v>510</v>
      </c>
      <c r="E13" s="14">
        <v>69.536100410000003</v>
      </c>
      <c r="F13" s="16">
        <v>2.37803437</v>
      </c>
      <c r="G13" s="14">
        <v>30.46389959</v>
      </c>
      <c r="H13" s="16">
        <v>2.37803437</v>
      </c>
      <c r="I13" s="14" t="s">
        <v>139</v>
      </c>
      <c r="J13" s="16" t="s">
        <v>139</v>
      </c>
      <c r="K13" s="14">
        <v>0</v>
      </c>
      <c r="L13" s="16">
        <v>0</v>
      </c>
      <c r="M13" s="14">
        <v>0</v>
      </c>
      <c r="N13" s="16">
        <v>0</v>
      </c>
      <c r="O13" s="14">
        <v>0</v>
      </c>
      <c r="P13" s="16">
        <v>0</v>
      </c>
      <c r="Q13" s="14">
        <v>0</v>
      </c>
      <c r="R13" s="16">
        <v>0</v>
      </c>
    </row>
    <row r="14" spans="1:18" x14ac:dyDescent="0.25">
      <c r="A14" s="11" t="s">
        <v>146</v>
      </c>
      <c r="B14" s="13">
        <v>2799</v>
      </c>
      <c r="C14" s="14">
        <f>(2348/B14*100)</f>
        <v>83.887102536620219</v>
      </c>
      <c r="D14" s="15">
        <v>451</v>
      </c>
      <c r="E14" s="14">
        <v>62.866186040000002</v>
      </c>
      <c r="F14" s="16">
        <v>2.16976514</v>
      </c>
      <c r="G14" s="14">
        <v>37.133813959999998</v>
      </c>
      <c r="H14" s="16">
        <v>2.16976514</v>
      </c>
      <c r="I14" s="14" t="s">
        <v>139</v>
      </c>
      <c r="J14" s="16" t="s">
        <v>139</v>
      </c>
      <c r="K14" s="14">
        <v>0</v>
      </c>
      <c r="L14" s="16">
        <v>0</v>
      </c>
      <c r="M14" s="14">
        <v>0</v>
      </c>
      <c r="N14" s="16">
        <v>0</v>
      </c>
      <c r="O14" s="14">
        <v>0</v>
      </c>
      <c r="P14" s="16">
        <v>0</v>
      </c>
      <c r="Q14" s="14">
        <v>0</v>
      </c>
      <c r="R14" s="16">
        <v>0</v>
      </c>
    </row>
    <row r="15" spans="1:18" x14ac:dyDescent="0.25">
      <c r="A15" s="11" t="s">
        <v>147</v>
      </c>
      <c r="B15" s="13">
        <v>3019</v>
      </c>
      <c r="C15" s="14">
        <f>(2534/B15*100)</f>
        <v>83.935077840344491</v>
      </c>
      <c r="D15" s="15">
        <v>485</v>
      </c>
      <c r="E15" s="14">
        <v>69.058852830000006</v>
      </c>
      <c r="F15" s="16">
        <v>1.6078256799999999</v>
      </c>
      <c r="G15" s="14">
        <v>30.941147170000001</v>
      </c>
      <c r="H15" s="16">
        <v>1.6078256799999999</v>
      </c>
      <c r="I15" s="14" t="s">
        <v>139</v>
      </c>
      <c r="J15" s="16" t="s">
        <v>139</v>
      </c>
      <c r="K15" s="14">
        <v>0</v>
      </c>
      <c r="L15" s="16">
        <v>0</v>
      </c>
      <c r="M15" s="14">
        <v>0</v>
      </c>
      <c r="N15" s="16">
        <v>0</v>
      </c>
      <c r="O15" s="14">
        <v>0</v>
      </c>
      <c r="P15" s="16">
        <v>0</v>
      </c>
      <c r="Q15" s="14">
        <v>0</v>
      </c>
      <c r="R15" s="16">
        <v>0</v>
      </c>
    </row>
    <row r="16" spans="1:18" x14ac:dyDescent="0.25">
      <c r="A16" s="11" t="s">
        <v>148</v>
      </c>
      <c r="B16" s="13">
        <v>2997</v>
      </c>
      <c r="C16" s="14">
        <f>(2548/B16*100)</f>
        <v>85.018351685018359</v>
      </c>
      <c r="D16" s="15">
        <v>449</v>
      </c>
      <c r="E16" s="14">
        <v>76.468393789999993</v>
      </c>
      <c r="F16" s="16">
        <v>1.8836617</v>
      </c>
      <c r="G16" s="14">
        <v>23.53160621</v>
      </c>
      <c r="H16" s="16">
        <v>1.8836617</v>
      </c>
      <c r="I16" s="14" t="s">
        <v>139</v>
      </c>
      <c r="J16" s="16" t="s">
        <v>139</v>
      </c>
      <c r="K16" s="14">
        <v>0</v>
      </c>
      <c r="L16" s="16">
        <v>0</v>
      </c>
      <c r="M16" s="14">
        <v>0</v>
      </c>
      <c r="N16" s="16">
        <v>0</v>
      </c>
      <c r="O16" s="14">
        <v>0</v>
      </c>
      <c r="P16" s="16">
        <v>0</v>
      </c>
      <c r="Q16" s="14">
        <v>0</v>
      </c>
      <c r="R16" s="16">
        <v>0</v>
      </c>
    </row>
    <row r="17" spans="1:18" x14ac:dyDescent="0.25">
      <c r="A17" s="11" t="s">
        <v>149</v>
      </c>
      <c r="B17" s="13">
        <v>3307</v>
      </c>
      <c r="C17" s="14">
        <f>(2834/B17*100)</f>
        <v>85.697006350166319</v>
      </c>
      <c r="D17" s="15">
        <v>473</v>
      </c>
      <c r="E17" s="14">
        <v>74.026583180000003</v>
      </c>
      <c r="F17" s="16">
        <v>2.3432806199999998</v>
      </c>
      <c r="G17" s="14">
        <v>25.973416820000001</v>
      </c>
      <c r="H17" s="16">
        <v>2.3432806199999998</v>
      </c>
      <c r="I17" s="14" t="s">
        <v>139</v>
      </c>
      <c r="J17" s="16" t="s">
        <v>139</v>
      </c>
      <c r="K17" s="14">
        <v>0</v>
      </c>
      <c r="L17" s="16">
        <v>0</v>
      </c>
      <c r="M17" s="14">
        <v>0</v>
      </c>
      <c r="N17" s="16">
        <v>0</v>
      </c>
      <c r="O17" s="14">
        <v>0</v>
      </c>
      <c r="P17" s="16">
        <v>0</v>
      </c>
      <c r="Q17" s="14">
        <v>0</v>
      </c>
      <c r="R17" s="16">
        <v>0</v>
      </c>
    </row>
    <row r="18" spans="1:18" x14ac:dyDescent="0.25">
      <c r="A18" s="11" t="s">
        <v>150</v>
      </c>
      <c r="B18" s="13">
        <v>2826</v>
      </c>
      <c r="C18" s="14">
        <f>(2367/B18*100)</f>
        <v>83.757961783439498</v>
      </c>
      <c r="D18" s="15">
        <v>459</v>
      </c>
      <c r="E18" s="14">
        <v>71.350371620000004</v>
      </c>
      <c r="F18" s="16">
        <v>2.3899375100000002</v>
      </c>
      <c r="G18" s="14">
        <v>28.649628379999999</v>
      </c>
      <c r="H18" s="16">
        <v>2.3899375100000002</v>
      </c>
      <c r="I18" s="14" t="s">
        <v>139</v>
      </c>
      <c r="J18" s="16" t="s">
        <v>139</v>
      </c>
      <c r="K18" s="14">
        <v>0</v>
      </c>
      <c r="L18" s="16">
        <v>0</v>
      </c>
      <c r="M18" s="14">
        <v>0</v>
      </c>
      <c r="N18" s="16">
        <v>0</v>
      </c>
      <c r="O18" s="14">
        <v>0</v>
      </c>
      <c r="P18" s="16">
        <v>0</v>
      </c>
      <c r="Q18" s="14">
        <v>0</v>
      </c>
      <c r="R18" s="16">
        <v>0</v>
      </c>
    </row>
    <row r="19" spans="1:18" x14ac:dyDescent="0.25">
      <c r="A19" s="11" t="s">
        <v>151</v>
      </c>
      <c r="B19" s="13">
        <v>2808</v>
      </c>
      <c r="C19" s="14">
        <f>(2387/B19*100)</f>
        <v>85.007122507122517</v>
      </c>
      <c r="D19" s="15">
        <v>421</v>
      </c>
      <c r="E19" s="14">
        <v>80.899690989999996</v>
      </c>
      <c r="F19" s="16">
        <v>1.89477428</v>
      </c>
      <c r="G19" s="14">
        <v>19.10030901</v>
      </c>
      <c r="H19" s="16">
        <v>1.89477428</v>
      </c>
      <c r="I19" s="14" t="s">
        <v>139</v>
      </c>
      <c r="J19" s="16" t="s">
        <v>139</v>
      </c>
      <c r="K19" s="14">
        <v>0</v>
      </c>
      <c r="L19" s="16">
        <v>0</v>
      </c>
      <c r="M19" s="14">
        <v>0</v>
      </c>
      <c r="N19" s="16">
        <v>0</v>
      </c>
      <c r="O19" s="14">
        <v>0</v>
      </c>
      <c r="P19" s="16">
        <v>0</v>
      </c>
      <c r="Q19" s="14">
        <v>0</v>
      </c>
      <c r="R19" s="16">
        <v>0</v>
      </c>
    </row>
    <row r="20" spans="1:18" x14ac:dyDescent="0.25">
      <c r="A20" s="11" t="s">
        <v>152</v>
      </c>
      <c r="B20" s="13">
        <v>1630</v>
      </c>
      <c r="C20" s="14">
        <f>(1379/B20*100)</f>
        <v>84.601226993865026</v>
      </c>
      <c r="D20" s="15">
        <v>251</v>
      </c>
      <c r="E20" s="14">
        <v>75.378401179999997</v>
      </c>
      <c r="F20" s="16">
        <v>2.7698084000000001</v>
      </c>
      <c r="G20" s="14">
        <v>24.621598819999999</v>
      </c>
      <c r="H20" s="16">
        <v>2.7698084000000001</v>
      </c>
      <c r="I20" s="14" t="s">
        <v>139</v>
      </c>
      <c r="J20" s="16" t="s">
        <v>139</v>
      </c>
      <c r="K20" s="14">
        <v>0</v>
      </c>
      <c r="L20" s="16">
        <v>0</v>
      </c>
      <c r="M20" s="14">
        <v>0</v>
      </c>
      <c r="N20" s="16">
        <v>0</v>
      </c>
      <c r="O20" s="14">
        <v>0</v>
      </c>
      <c r="P20" s="16">
        <v>0</v>
      </c>
      <c r="Q20" s="14">
        <v>0</v>
      </c>
      <c r="R20" s="16">
        <v>0</v>
      </c>
    </row>
    <row r="21" spans="1:18"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row>
    <row r="22" spans="1:18" x14ac:dyDescent="0.25">
      <c r="A22" s="11" t="s">
        <v>155</v>
      </c>
      <c r="B22" s="13">
        <v>2931</v>
      </c>
      <c r="C22" s="14">
        <f>(2472/B22*100)</f>
        <v>84.339815762538379</v>
      </c>
      <c r="D22" s="15">
        <v>459</v>
      </c>
      <c r="E22" s="14">
        <v>76.701771969999996</v>
      </c>
      <c r="F22" s="16">
        <v>2.0973554000000001</v>
      </c>
      <c r="G22" s="14">
        <v>23.298228030000001</v>
      </c>
      <c r="H22" s="16">
        <v>2.0973554000000001</v>
      </c>
      <c r="I22" s="14" t="s">
        <v>139</v>
      </c>
      <c r="J22" s="16" t="s">
        <v>139</v>
      </c>
      <c r="K22" s="14">
        <v>0</v>
      </c>
      <c r="L22" s="16">
        <v>0</v>
      </c>
      <c r="M22" s="14">
        <v>0</v>
      </c>
      <c r="N22" s="16">
        <v>0</v>
      </c>
      <c r="O22" s="14">
        <v>0</v>
      </c>
      <c r="P22" s="16">
        <v>0</v>
      </c>
      <c r="Q22" s="14">
        <v>0</v>
      </c>
      <c r="R22" s="16">
        <v>0</v>
      </c>
    </row>
    <row r="23" spans="1:18" x14ac:dyDescent="0.25">
      <c r="A23" s="11" t="s">
        <v>156</v>
      </c>
      <c r="B23" s="13">
        <v>5791</v>
      </c>
      <c r="C23" s="14">
        <f>(4852/B23*100)</f>
        <v>83.785183906061135</v>
      </c>
      <c r="D23" s="15">
        <v>939</v>
      </c>
      <c r="E23" s="14">
        <v>73.669865819999998</v>
      </c>
      <c r="F23" s="16">
        <v>2.2365254700000001</v>
      </c>
      <c r="G23" s="14">
        <v>26.330134180000002</v>
      </c>
      <c r="H23" s="16">
        <v>2.2365254700000001</v>
      </c>
      <c r="I23" s="14" t="s">
        <v>139</v>
      </c>
      <c r="J23" s="16" t="s">
        <v>139</v>
      </c>
      <c r="K23" s="14">
        <v>0</v>
      </c>
      <c r="L23" s="16">
        <v>0</v>
      </c>
      <c r="M23" s="14">
        <v>0</v>
      </c>
      <c r="N23" s="16">
        <v>0</v>
      </c>
      <c r="O23" s="14">
        <v>0</v>
      </c>
      <c r="P23" s="16">
        <v>0</v>
      </c>
      <c r="Q23" s="14">
        <v>0</v>
      </c>
      <c r="R23" s="16">
        <v>0</v>
      </c>
    </row>
    <row r="24" spans="1:18" x14ac:dyDescent="0.25">
      <c r="A24" s="11" t="s">
        <v>157</v>
      </c>
      <c r="B24" s="13">
        <v>3338</v>
      </c>
      <c r="C24" s="14">
        <f>(2805/B24*100)</f>
        <v>84.032354703415223</v>
      </c>
      <c r="D24" s="15">
        <v>533</v>
      </c>
      <c r="E24" s="14">
        <v>62.594186329999999</v>
      </c>
      <c r="F24" s="16">
        <v>2.31212894</v>
      </c>
      <c r="G24" s="14">
        <v>37.405813670000001</v>
      </c>
      <c r="H24" s="16">
        <v>2.31212894</v>
      </c>
      <c r="I24" s="14" t="s">
        <v>139</v>
      </c>
      <c r="J24" s="16" t="s">
        <v>139</v>
      </c>
      <c r="K24" s="14">
        <v>0</v>
      </c>
      <c r="L24" s="16">
        <v>0</v>
      </c>
      <c r="M24" s="14">
        <v>0</v>
      </c>
      <c r="N24" s="16">
        <v>0</v>
      </c>
      <c r="O24" s="14">
        <v>0</v>
      </c>
      <c r="P24" s="16">
        <v>0</v>
      </c>
      <c r="Q24" s="14">
        <v>0</v>
      </c>
      <c r="R24" s="16">
        <v>0</v>
      </c>
    </row>
    <row r="25" spans="1:18" x14ac:dyDescent="0.25">
      <c r="A25" s="11" t="s">
        <v>158</v>
      </c>
      <c r="B25" s="13">
        <v>2912</v>
      </c>
      <c r="C25" s="14">
        <f>(2416/B25*100)</f>
        <v>82.967032967032978</v>
      </c>
      <c r="D25" s="15">
        <v>496</v>
      </c>
      <c r="E25" s="14">
        <v>67.459713399999998</v>
      </c>
      <c r="F25" s="16">
        <v>2.5350239299999999</v>
      </c>
      <c r="G25" s="14">
        <v>32.540286600000002</v>
      </c>
      <c r="H25" s="16">
        <v>2.5350239299999999</v>
      </c>
      <c r="I25" s="14" t="s">
        <v>139</v>
      </c>
      <c r="J25" s="16" t="s">
        <v>139</v>
      </c>
      <c r="K25" s="14">
        <v>0</v>
      </c>
      <c r="L25" s="16">
        <v>0</v>
      </c>
      <c r="M25" s="14">
        <v>0</v>
      </c>
      <c r="N25" s="16">
        <v>0</v>
      </c>
      <c r="O25" s="14">
        <v>0</v>
      </c>
      <c r="P25" s="16">
        <v>0</v>
      </c>
      <c r="Q25" s="14">
        <v>0</v>
      </c>
      <c r="R25" s="16">
        <v>0</v>
      </c>
    </row>
    <row r="26" spans="1:18" x14ac:dyDescent="0.25">
      <c r="A26" s="11" t="s">
        <v>159</v>
      </c>
      <c r="B26" s="13">
        <v>2450</v>
      </c>
      <c r="C26" s="14">
        <f>(2061/B26*100)</f>
        <v>84.122448979591837</v>
      </c>
      <c r="D26" s="15">
        <v>389</v>
      </c>
      <c r="E26" s="14">
        <v>75.882650580000004</v>
      </c>
      <c r="F26" s="16">
        <v>2.4684625800000002</v>
      </c>
      <c r="G26" s="14">
        <v>24.11734942</v>
      </c>
      <c r="H26" s="16">
        <v>2.4684625800000002</v>
      </c>
      <c r="I26" s="14" t="s">
        <v>139</v>
      </c>
      <c r="J26" s="16" t="s">
        <v>139</v>
      </c>
      <c r="K26" s="14">
        <v>0</v>
      </c>
      <c r="L26" s="16">
        <v>0</v>
      </c>
      <c r="M26" s="14">
        <v>0</v>
      </c>
      <c r="N26" s="16">
        <v>0</v>
      </c>
      <c r="O26" s="14">
        <v>0</v>
      </c>
      <c r="P26" s="16">
        <v>0</v>
      </c>
      <c r="Q26" s="14">
        <v>0</v>
      </c>
      <c r="R26" s="16">
        <v>0</v>
      </c>
    </row>
    <row r="27" spans="1:18" x14ac:dyDescent="0.25">
      <c r="A27" s="11" t="s">
        <v>160</v>
      </c>
      <c r="B27" s="13">
        <v>2616</v>
      </c>
      <c r="C27" s="14">
        <f>(2231/B27*100)</f>
        <v>85.282874617737008</v>
      </c>
      <c r="D27" s="15">
        <v>385</v>
      </c>
      <c r="E27" s="14">
        <v>73.384283789999998</v>
      </c>
      <c r="F27" s="16">
        <v>2.3088896800000001</v>
      </c>
      <c r="G27" s="14">
        <v>26.615716209999999</v>
      </c>
      <c r="H27" s="16">
        <v>2.3088896800000001</v>
      </c>
      <c r="I27" s="14" t="s">
        <v>139</v>
      </c>
      <c r="J27" s="16" t="s">
        <v>139</v>
      </c>
      <c r="K27" s="14">
        <v>0</v>
      </c>
      <c r="L27" s="16">
        <v>0</v>
      </c>
      <c r="M27" s="14">
        <v>0</v>
      </c>
      <c r="N27" s="16">
        <v>0</v>
      </c>
      <c r="O27" s="14">
        <v>0</v>
      </c>
      <c r="P27" s="16">
        <v>0</v>
      </c>
      <c r="Q27" s="14">
        <v>0</v>
      </c>
      <c r="R27" s="16">
        <v>0</v>
      </c>
    </row>
    <row r="28" spans="1:18" x14ac:dyDescent="0.25">
      <c r="A28" s="11" t="s">
        <v>161</v>
      </c>
      <c r="B28" s="13">
        <v>3765</v>
      </c>
      <c r="C28" s="14">
        <f>(3251/B28*100)</f>
        <v>86.347941567065078</v>
      </c>
      <c r="D28" s="15">
        <v>514</v>
      </c>
      <c r="E28" s="14">
        <v>86.047590130000003</v>
      </c>
      <c r="F28" s="16">
        <v>1.61188314</v>
      </c>
      <c r="G28" s="14">
        <v>13.95240987</v>
      </c>
      <c r="H28" s="16">
        <v>1.61188314</v>
      </c>
      <c r="I28" s="14" t="s">
        <v>139</v>
      </c>
      <c r="J28" s="16" t="s">
        <v>139</v>
      </c>
      <c r="K28" s="14">
        <v>0</v>
      </c>
      <c r="L28" s="16">
        <v>0</v>
      </c>
      <c r="M28" s="14">
        <v>0</v>
      </c>
      <c r="N28" s="16">
        <v>0</v>
      </c>
      <c r="O28" s="14">
        <v>0</v>
      </c>
      <c r="P28" s="16">
        <v>0</v>
      </c>
      <c r="Q28" s="14">
        <v>0</v>
      </c>
      <c r="R28" s="16">
        <v>0</v>
      </c>
    </row>
    <row r="29" spans="1:18" x14ac:dyDescent="0.25">
      <c r="A29" s="11" t="s">
        <v>162</v>
      </c>
      <c r="B29" s="13">
        <v>2685</v>
      </c>
      <c r="C29" s="14">
        <f>(2235/B29*100)</f>
        <v>83.240223463687144</v>
      </c>
      <c r="D29" s="15">
        <v>450</v>
      </c>
      <c r="E29" s="14">
        <v>59.616112569999999</v>
      </c>
      <c r="F29" s="16">
        <v>2.6030282300000001</v>
      </c>
      <c r="G29" s="14">
        <v>40.383887430000001</v>
      </c>
      <c r="H29" s="16">
        <v>2.6030282300000001</v>
      </c>
      <c r="I29" s="14" t="s">
        <v>139</v>
      </c>
      <c r="J29" s="16" t="s">
        <v>139</v>
      </c>
      <c r="K29" s="14">
        <v>0</v>
      </c>
      <c r="L29" s="16">
        <v>0</v>
      </c>
      <c r="M29" s="14">
        <v>0</v>
      </c>
      <c r="N29" s="16">
        <v>0</v>
      </c>
      <c r="O29" s="14">
        <v>0</v>
      </c>
      <c r="P29" s="16">
        <v>0</v>
      </c>
      <c r="Q29" s="14">
        <v>0</v>
      </c>
      <c r="R29" s="16">
        <v>0</v>
      </c>
    </row>
    <row r="30" spans="1:18" x14ac:dyDescent="0.25">
      <c r="A30" s="11" t="s">
        <v>163</v>
      </c>
      <c r="B30" s="13">
        <v>2263</v>
      </c>
      <c r="C30" s="14">
        <f>(1926/B30*100)</f>
        <v>85.108263367211663</v>
      </c>
      <c r="D30" s="15">
        <v>337</v>
      </c>
      <c r="E30" s="14">
        <v>76.912035459999998</v>
      </c>
      <c r="F30" s="16">
        <v>2.3072241</v>
      </c>
      <c r="G30" s="14">
        <v>23.087964540000002</v>
      </c>
      <c r="H30" s="16">
        <v>2.3072241</v>
      </c>
      <c r="I30" s="14" t="s">
        <v>139</v>
      </c>
      <c r="J30" s="16" t="s">
        <v>139</v>
      </c>
      <c r="K30" s="14">
        <v>0</v>
      </c>
      <c r="L30" s="16">
        <v>0</v>
      </c>
      <c r="M30" s="14">
        <v>0</v>
      </c>
      <c r="N30" s="16">
        <v>0</v>
      </c>
      <c r="O30" s="14">
        <v>0</v>
      </c>
      <c r="P30" s="16">
        <v>0</v>
      </c>
      <c r="Q30" s="14">
        <v>0</v>
      </c>
      <c r="R30" s="16">
        <v>0</v>
      </c>
    </row>
    <row r="31" spans="1:18" x14ac:dyDescent="0.25">
      <c r="A31" s="11" t="s">
        <v>164</v>
      </c>
      <c r="B31" s="13">
        <v>2750</v>
      </c>
      <c r="C31" s="14">
        <f>(2323/B31*100)</f>
        <v>84.472727272727283</v>
      </c>
      <c r="D31" s="15">
        <v>427</v>
      </c>
      <c r="E31" s="14">
        <v>75.716793289999998</v>
      </c>
      <c r="F31" s="16">
        <v>1.80029339</v>
      </c>
      <c r="G31" s="14">
        <v>24.283206710000002</v>
      </c>
      <c r="H31" s="16">
        <v>1.80029339</v>
      </c>
      <c r="I31" s="14" t="s">
        <v>139</v>
      </c>
      <c r="J31" s="16" t="s">
        <v>139</v>
      </c>
      <c r="K31" s="14">
        <v>0</v>
      </c>
      <c r="L31" s="16">
        <v>0</v>
      </c>
      <c r="M31" s="14">
        <v>0</v>
      </c>
      <c r="N31" s="16">
        <v>0</v>
      </c>
      <c r="O31" s="14">
        <v>0</v>
      </c>
      <c r="P31" s="16">
        <v>0</v>
      </c>
      <c r="Q31" s="14">
        <v>0</v>
      </c>
      <c r="R31" s="16">
        <v>0</v>
      </c>
    </row>
    <row r="32" spans="1:18"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row>
    <row r="33" spans="1:18" x14ac:dyDescent="0.25">
      <c r="A33" s="11" t="s">
        <v>166</v>
      </c>
      <c r="B33" s="13">
        <v>3674</v>
      </c>
      <c r="C33" s="14">
        <f>(3131/B33*100)</f>
        <v>85.220468154599899</v>
      </c>
      <c r="D33" s="15">
        <v>543</v>
      </c>
      <c r="E33" s="14">
        <v>83.073101269999995</v>
      </c>
      <c r="F33" s="16">
        <v>2.1670123700000001</v>
      </c>
      <c r="G33" s="14">
        <v>16.926898730000001</v>
      </c>
      <c r="H33" s="16">
        <v>2.1670123700000001</v>
      </c>
      <c r="I33" s="14" t="s">
        <v>139</v>
      </c>
      <c r="J33" s="16" t="s">
        <v>139</v>
      </c>
      <c r="K33" s="14">
        <v>0</v>
      </c>
      <c r="L33" s="16">
        <v>0</v>
      </c>
      <c r="M33" s="14">
        <v>0</v>
      </c>
      <c r="N33" s="16">
        <v>0</v>
      </c>
      <c r="O33" s="14">
        <v>0</v>
      </c>
      <c r="P33" s="16">
        <v>0</v>
      </c>
      <c r="Q33" s="14">
        <v>0</v>
      </c>
      <c r="R33" s="16">
        <v>0</v>
      </c>
    </row>
    <row r="34" spans="1:18" x14ac:dyDescent="0.25">
      <c r="A34" s="11" t="s">
        <v>167</v>
      </c>
      <c r="B34" s="13">
        <v>3315</v>
      </c>
      <c r="C34" s="14">
        <f>(2826/B34*100)</f>
        <v>85.248868778280539</v>
      </c>
      <c r="D34" s="15">
        <v>489</v>
      </c>
      <c r="E34" s="14">
        <v>77.024871640000001</v>
      </c>
      <c r="F34" s="16">
        <v>1.8995257299999999</v>
      </c>
      <c r="G34" s="14">
        <v>22.975128359999999</v>
      </c>
      <c r="H34" s="16">
        <v>1.8995257299999999</v>
      </c>
      <c r="I34" s="14" t="s">
        <v>139</v>
      </c>
      <c r="J34" s="16" t="s">
        <v>139</v>
      </c>
      <c r="K34" s="14">
        <v>0</v>
      </c>
      <c r="L34" s="16">
        <v>0</v>
      </c>
      <c r="M34" s="14">
        <v>0</v>
      </c>
      <c r="N34" s="16">
        <v>0</v>
      </c>
      <c r="O34" s="14">
        <v>0</v>
      </c>
      <c r="P34" s="16">
        <v>0</v>
      </c>
      <c r="Q34" s="14">
        <v>0</v>
      </c>
      <c r="R34" s="16">
        <v>0</v>
      </c>
    </row>
    <row r="35" spans="1:18" x14ac:dyDescent="0.25">
      <c r="A35" s="11" t="s">
        <v>168</v>
      </c>
      <c r="B35" s="13">
        <v>3505</v>
      </c>
      <c r="C35" s="14">
        <f>(2952/B35*100)</f>
        <v>84.222539229671895</v>
      </c>
      <c r="D35" s="15">
        <v>553</v>
      </c>
      <c r="E35" s="14">
        <v>73.564575210000001</v>
      </c>
      <c r="F35" s="16">
        <v>2.3561133600000002</v>
      </c>
      <c r="G35" s="14">
        <v>26.435424789999999</v>
      </c>
      <c r="H35" s="16">
        <v>2.3561133600000002</v>
      </c>
      <c r="I35" s="14" t="s">
        <v>139</v>
      </c>
      <c r="J35" s="16" t="s">
        <v>139</v>
      </c>
      <c r="K35" s="14">
        <v>0</v>
      </c>
      <c r="L35" s="16">
        <v>0</v>
      </c>
      <c r="M35" s="14">
        <v>0</v>
      </c>
      <c r="N35" s="16">
        <v>0</v>
      </c>
      <c r="O35" s="14">
        <v>0</v>
      </c>
      <c r="P35" s="16">
        <v>0</v>
      </c>
      <c r="Q35" s="14">
        <v>0</v>
      </c>
      <c r="R35" s="16">
        <v>0</v>
      </c>
    </row>
    <row r="36" spans="1:18" x14ac:dyDescent="0.25">
      <c r="A36" s="11" t="s">
        <v>169</v>
      </c>
      <c r="B36" s="13">
        <v>3332</v>
      </c>
      <c r="C36" s="14">
        <f>(2817/B36*100)</f>
        <v>84.543817527010802</v>
      </c>
      <c r="D36" s="15">
        <v>515</v>
      </c>
      <c r="E36" s="14">
        <v>71.711000290000001</v>
      </c>
      <c r="F36" s="16">
        <v>2.11476446</v>
      </c>
      <c r="G36" s="14">
        <v>28.288999709999999</v>
      </c>
      <c r="H36" s="16">
        <v>2.11476446</v>
      </c>
      <c r="I36" s="14" t="s">
        <v>139</v>
      </c>
      <c r="J36" s="16" t="s">
        <v>139</v>
      </c>
      <c r="K36" s="14">
        <v>0</v>
      </c>
      <c r="L36" s="16">
        <v>0</v>
      </c>
      <c r="M36" s="14">
        <v>0</v>
      </c>
      <c r="N36" s="16">
        <v>0</v>
      </c>
      <c r="O36" s="14">
        <v>0</v>
      </c>
      <c r="P36" s="16">
        <v>0</v>
      </c>
      <c r="Q36" s="14">
        <v>0</v>
      </c>
      <c r="R36" s="16">
        <v>0</v>
      </c>
    </row>
    <row r="37" spans="1:18" x14ac:dyDescent="0.25">
      <c r="A37" s="11" t="s">
        <v>170</v>
      </c>
      <c r="B37" s="13">
        <v>2727</v>
      </c>
      <c r="C37" s="14">
        <f>(2333/B37*100)</f>
        <v>85.55188852218555</v>
      </c>
      <c r="D37" s="15">
        <v>394</v>
      </c>
      <c r="E37" s="14">
        <v>65.943284849999998</v>
      </c>
      <c r="F37" s="16">
        <v>2.3291637299999999</v>
      </c>
      <c r="G37" s="14">
        <v>34.056715150000002</v>
      </c>
      <c r="H37" s="16">
        <v>2.3291637299999999</v>
      </c>
      <c r="I37" s="14" t="s">
        <v>139</v>
      </c>
      <c r="J37" s="16" t="s">
        <v>139</v>
      </c>
      <c r="K37" s="14">
        <v>0</v>
      </c>
      <c r="L37" s="16">
        <v>0</v>
      </c>
      <c r="M37" s="14">
        <v>0</v>
      </c>
      <c r="N37" s="16">
        <v>0</v>
      </c>
      <c r="O37" s="14">
        <v>0</v>
      </c>
      <c r="P37" s="16">
        <v>0</v>
      </c>
      <c r="Q37" s="14">
        <v>0</v>
      </c>
      <c r="R37" s="16">
        <v>0</v>
      </c>
    </row>
    <row r="38" spans="1:18"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row>
    <row r="39" spans="1:18" x14ac:dyDescent="0.25">
      <c r="A39" s="11" t="s">
        <v>172</v>
      </c>
      <c r="B39" s="13">
        <v>2957</v>
      </c>
      <c r="C39" s="14">
        <f>(2451/B39*100)</f>
        <v>82.888062225228282</v>
      </c>
      <c r="D39" s="15">
        <v>506</v>
      </c>
      <c r="E39" s="14">
        <v>81.666375840000001</v>
      </c>
      <c r="F39" s="16">
        <v>1.73697411</v>
      </c>
      <c r="G39" s="14">
        <v>18.333624159999999</v>
      </c>
      <c r="H39" s="16">
        <v>1.73697411</v>
      </c>
      <c r="I39" s="14" t="s">
        <v>139</v>
      </c>
      <c r="J39" s="16" t="s">
        <v>139</v>
      </c>
      <c r="K39" s="14">
        <v>0</v>
      </c>
      <c r="L39" s="16">
        <v>0</v>
      </c>
      <c r="M39" s="14">
        <v>0</v>
      </c>
      <c r="N39" s="16">
        <v>0</v>
      </c>
      <c r="O39" s="14">
        <v>0</v>
      </c>
      <c r="P39" s="16">
        <v>0</v>
      </c>
      <c r="Q39" s="14">
        <v>0</v>
      </c>
      <c r="R39" s="16">
        <v>0</v>
      </c>
    </row>
    <row r="40" spans="1:18" x14ac:dyDescent="0.25">
      <c r="A40" s="11" t="s">
        <v>173</v>
      </c>
      <c r="B40" s="13">
        <v>7235</v>
      </c>
      <c r="C40" s="14">
        <f>(6063/B40*100)</f>
        <v>83.800967519004843</v>
      </c>
      <c r="D40" s="15">
        <v>1172</v>
      </c>
      <c r="E40" s="14">
        <v>70.197433799999999</v>
      </c>
      <c r="F40" s="16">
        <v>2.3176089700000002</v>
      </c>
      <c r="G40" s="14">
        <v>29.802566200000001</v>
      </c>
      <c r="H40" s="16">
        <v>2.3176089700000002</v>
      </c>
      <c r="I40" s="14" t="s">
        <v>139</v>
      </c>
      <c r="J40" s="16" t="s">
        <v>139</v>
      </c>
      <c r="K40" s="14">
        <v>0</v>
      </c>
      <c r="L40" s="16">
        <v>0</v>
      </c>
      <c r="M40" s="14">
        <v>0</v>
      </c>
      <c r="N40" s="16">
        <v>0</v>
      </c>
      <c r="O40" s="14">
        <v>0</v>
      </c>
      <c r="P40" s="16">
        <v>0</v>
      </c>
      <c r="Q40" s="14">
        <v>0</v>
      </c>
      <c r="R40" s="16">
        <v>0</v>
      </c>
    </row>
    <row r="41" spans="1:18" x14ac:dyDescent="0.25">
      <c r="A41" s="11" t="s">
        <v>174</v>
      </c>
      <c r="B41" s="13">
        <v>2858</v>
      </c>
      <c r="C41" s="14">
        <f>(2417/B41*100)</f>
        <v>84.569629111266622</v>
      </c>
      <c r="D41" s="15">
        <v>441</v>
      </c>
      <c r="E41" s="14">
        <v>73.583904380000007</v>
      </c>
      <c r="F41" s="16">
        <v>2.4809043900000001</v>
      </c>
      <c r="G41" s="14">
        <v>26.41609562</v>
      </c>
      <c r="H41" s="16">
        <v>2.4809043900000001</v>
      </c>
      <c r="I41" s="14" t="s">
        <v>139</v>
      </c>
      <c r="J41" s="16" t="s">
        <v>139</v>
      </c>
      <c r="K41" s="14">
        <v>0</v>
      </c>
      <c r="L41" s="16">
        <v>0</v>
      </c>
      <c r="M41" s="14">
        <v>0</v>
      </c>
      <c r="N41" s="16">
        <v>0</v>
      </c>
      <c r="O41" s="14">
        <v>0</v>
      </c>
      <c r="P41" s="16">
        <v>0</v>
      </c>
      <c r="Q41" s="14">
        <v>0</v>
      </c>
      <c r="R41" s="16">
        <v>0</v>
      </c>
    </row>
    <row r="42" spans="1:18" x14ac:dyDescent="0.25">
      <c r="A42" s="11" t="s">
        <v>175</v>
      </c>
      <c r="B42" s="13">
        <f>IF(COUNT(B7:B41) &gt; 0, AVERAGE(B7:B41), "\u2014")</f>
        <v>3654.375</v>
      </c>
      <c r="C42" s="14">
        <f>IF(COUNT(C7:C41) &gt; 0, AVERAGE(C7:C41), "—")</f>
        <v>84.530326474626506</v>
      </c>
      <c r="D42" s="15">
        <f>IF(COUNT(D7:D41) &gt; 0, AVERAGE(D7:D41), "—")</f>
        <v>566.5</v>
      </c>
      <c r="E42" s="14">
        <f>IF(COUNT(E7:E41) &gt; 0, AVERAGE(E7:E41), "—")</f>
        <v>73.356110232187504</v>
      </c>
      <c r="F42" s="16">
        <f>IF(COUNT(F7:F41) &gt; 0, SQRT(SUMSQ(F7:F41)/(COUNT(F7:F41)*COUNT(F7:F41)) ), "—")</f>
        <v>0.38227197669473195</v>
      </c>
      <c r="G42" s="14">
        <f>IF(COUNT(G7:G41) &gt; 0, AVERAGE(G7:G41), "—")</f>
        <v>26.6438897678125</v>
      </c>
      <c r="H42" s="16">
        <f>IF(COUNT(H7:H41) &gt; 0, SQRT(SUMSQ(H7:H41)/(COUNT(H7:H41)*COUNT(H7:H41)) ), "—")</f>
        <v>0.38227197669473195</v>
      </c>
      <c r="I42" s="14" t="str">
        <f>IF(COUNT(I7:I41) &gt; 0, AVERAGE(I7:I41), "—")</f>
        <v>—</v>
      </c>
      <c r="J42" s="16" t="str">
        <f>IF(COUNT(J7:J41) &gt; 0, SQRT(SUMSQ(J7:J41)/(COUNT(J7:J41)*COUNT(J7:J41)) ), "—")</f>
        <v>—</v>
      </c>
      <c r="K42" s="14">
        <f>IF(COUNT(K7:K41) &gt; 0, AVERAGE(K7:K41), "—")</f>
        <v>0</v>
      </c>
      <c r="L42" s="16">
        <f>IF(COUNT(L7:L41) &gt; 0, SQRT(SUMSQ(L7:L41)/(COUNT(L7:L41)*COUNT(L7:L41)) ), "—")</f>
        <v>0</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row>
    <row r="43" spans="1:18" x14ac:dyDescent="0.25">
      <c r="A43" s="9" t="s">
        <v>176</v>
      </c>
      <c r="B43" s="10"/>
      <c r="C43" s="10"/>
      <c r="D43" s="11"/>
      <c r="E43" s="10"/>
      <c r="F43" s="11"/>
      <c r="G43" s="10"/>
      <c r="H43" s="11"/>
      <c r="I43" s="10"/>
      <c r="J43" s="11"/>
      <c r="K43" s="10"/>
      <c r="L43" s="11"/>
      <c r="M43" s="10"/>
      <c r="N43" s="11"/>
      <c r="O43" s="10"/>
      <c r="P43" s="11"/>
      <c r="Q43" s="10"/>
      <c r="R43" s="12"/>
    </row>
    <row r="44" spans="1:18"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row>
    <row r="45" spans="1:18"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row>
    <row r="46" spans="1:18" x14ac:dyDescent="0.25">
      <c r="A46" s="11" t="s">
        <v>179</v>
      </c>
      <c r="B46" s="13">
        <v>11068</v>
      </c>
      <c r="C46" s="14">
        <f>(9947/B46*100)</f>
        <v>89.871702204553671</v>
      </c>
      <c r="D46" s="15">
        <v>1121</v>
      </c>
      <c r="E46" s="14">
        <v>81.557207109999993</v>
      </c>
      <c r="F46" s="16">
        <v>1.4321456699999999</v>
      </c>
      <c r="G46" s="14">
        <v>18.44279289</v>
      </c>
      <c r="H46" s="16">
        <v>1.4321456699999999</v>
      </c>
      <c r="I46" s="14" t="s">
        <v>139</v>
      </c>
      <c r="J46" s="16" t="s">
        <v>139</v>
      </c>
      <c r="K46" s="14">
        <v>0</v>
      </c>
      <c r="L46" s="16">
        <v>0</v>
      </c>
      <c r="M46" s="14">
        <v>0</v>
      </c>
      <c r="N46" s="16">
        <v>0</v>
      </c>
      <c r="O46" s="14">
        <v>0</v>
      </c>
      <c r="P46" s="16">
        <v>0</v>
      </c>
      <c r="Q46" s="14">
        <v>0</v>
      </c>
      <c r="R46" s="16">
        <v>0</v>
      </c>
    </row>
    <row r="47" spans="1:18" x14ac:dyDescent="0.25">
      <c r="A47" s="11" t="s">
        <v>180</v>
      </c>
      <c r="B47" s="13">
        <v>3105</v>
      </c>
      <c r="C47" s="14">
        <f>(2650/B47*100)</f>
        <v>85.346215780998392</v>
      </c>
      <c r="D47" s="15">
        <v>455</v>
      </c>
      <c r="E47" s="14">
        <v>79.535735639999999</v>
      </c>
      <c r="F47" s="16">
        <v>2.3565676199999999</v>
      </c>
      <c r="G47" s="14">
        <v>20.464264360000001</v>
      </c>
      <c r="H47" s="16">
        <v>2.3565676199999999</v>
      </c>
      <c r="I47" s="14" t="s">
        <v>139</v>
      </c>
      <c r="J47" s="16" t="s">
        <v>139</v>
      </c>
      <c r="K47" s="14">
        <v>0</v>
      </c>
      <c r="L47" s="16">
        <v>0</v>
      </c>
      <c r="M47" s="14">
        <v>0</v>
      </c>
      <c r="N47" s="16">
        <v>0</v>
      </c>
      <c r="O47" s="14">
        <v>0</v>
      </c>
      <c r="P47" s="16">
        <v>0</v>
      </c>
      <c r="Q47" s="14">
        <v>0</v>
      </c>
      <c r="R47" s="16">
        <v>0</v>
      </c>
    </row>
    <row r="48" spans="1:18" x14ac:dyDescent="0.25">
      <c r="A48" s="11" t="s">
        <v>181</v>
      </c>
      <c r="B48" s="13">
        <v>5159</v>
      </c>
      <c r="C48" s="14">
        <f>(4311/B48*100)</f>
        <v>83.562705950765647</v>
      </c>
      <c r="D48" s="15">
        <v>848</v>
      </c>
      <c r="E48" s="14">
        <v>82.721835720000001</v>
      </c>
      <c r="F48" s="16">
        <v>1.72283118</v>
      </c>
      <c r="G48" s="14">
        <v>17.278164279999999</v>
      </c>
      <c r="H48" s="16">
        <v>1.72283118</v>
      </c>
      <c r="I48" s="14" t="s">
        <v>139</v>
      </c>
      <c r="J48" s="16" t="s">
        <v>139</v>
      </c>
      <c r="K48" s="14">
        <v>0</v>
      </c>
      <c r="L48" s="16">
        <v>0</v>
      </c>
      <c r="M48" s="14">
        <v>0</v>
      </c>
      <c r="N48" s="16">
        <v>0</v>
      </c>
      <c r="O48" s="14">
        <v>0</v>
      </c>
      <c r="P48" s="16">
        <v>0</v>
      </c>
      <c r="Q48" s="14">
        <v>0</v>
      </c>
      <c r="R48" s="16">
        <v>0</v>
      </c>
    </row>
    <row r="49" spans="1:18"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row>
    <row r="50" spans="1:18" x14ac:dyDescent="0.25">
      <c r="A50" s="11" t="s">
        <v>183</v>
      </c>
      <c r="B50" s="13">
        <v>5637</v>
      </c>
      <c r="C50" s="14">
        <f>(4810/B50*100)</f>
        <v>85.329075749512157</v>
      </c>
      <c r="D50" s="15">
        <v>827</v>
      </c>
      <c r="E50" s="14">
        <v>83.17315266</v>
      </c>
      <c r="F50" s="16">
        <v>1.46701759</v>
      </c>
      <c r="G50" s="14">
        <v>16.82684734</v>
      </c>
      <c r="H50" s="16">
        <v>1.46701759</v>
      </c>
      <c r="I50" s="14" t="s">
        <v>139</v>
      </c>
      <c r="J50" s="16" t="s">
        <v>139</v>
      </c>
      <c r="K50" s="14">
        <v>0</v>
      </c>
      <c r="L50" s="16">
        <v>0</v>
      </c>
      <c r="M50" s="14">
        <v>0</v>
      </c>
      <c r="N50" s="16">
        <v>0</v>
      </c>
      <c r="O50" s="14">
        <v>0</v>
      </c>
      <c r="P50" s="16">
        <v>0</v>
      </c>
      <c r="Q50" s="14">
        <v>0</v>
      </c>
      <c r="R50" s="16">
        <v>0</v>
      </c>
    </row>
    <row r="51" spans="1:18" x14ac:dyDescent="0.25">
      <c r="A51" s="11" t="s">
        <v>184</v>
      </c>
      <c r="B51" s="13">
        <v>3372</v>
      </c>
      <c r="C51" s="14">
        <f>(2926/B51*100)</f>
        <v>86.773428232502965</v>
      </c>
      <c r="D51" s="15">
        <v>446</v>
      </c>
      <c r="E51" s="14">
        <v>82.712974970000005</v>
      </c>
      <c r="F51" s="16">
        <v>1.5932645000000001</v>
      </c>
      <c r="G51" s="14">
        <v>17.287025029999999</v>
      </c>
      <c r="H51" s="16">
        <v>1.5932645000000001</v>
      </c>
      <c r="I51" s="14" t="s">
        <v>139</v>
      </c>
      <c r="J51" s="16" t="s">
        <v>139</v>
      </c>
      <c r="K51" s="14">
        <v>0</v>
      </c>
      <c r="L51" s="16">
        <v>0</v>
      </c>
      <c r="M51" s="14">
        <v>0</v>
      </c>
      <c r="N51" s="16">
        <v>0</v>
      </c>
      <c r="O51" s="14">
        <v>0</v>
      </c>
      <c r="P51" s="16">
        <v>0</v>
      </c>
      <c r="Q51" s="14">
        <v>0</v>
      </c>
      <c r="R51" s="16">
        <v>0</v>
      </c>
    </row>
    <row r="52" spans="1:18" x14ac:dyDescent="0.25">
      <c r="A52" s="11" t="s">
        <v>185</v>
      </c>
      <c r="B52" s="13">
        <v>2796</v>
      </c>
      <c r="C52" s="14">
        <f>(2370/B52*100)</f>
        <v>84.763948497854074</v>
      </c>
      <c r="D52" s="15">
        <v>426</v>
      </c>
      <c r="E52" s="14">
        <v>73.540386659999996</v>
      </c>
      <c r="F52" s="16">
        <v>2.4116684799999999</v>
      </c>
      <c r="G52" s="14">
        <v>26.459613340000001</v>
      </c>
      <c r="H52" s="16">
        <v>2.4116684799999999</v>
      </c>
      <c r="I52" s="14" t="s">
        <v>139</v>
      </c>
      <c r="J52" s="16" t="s">
        <v>139</v>
      </c>
      <c r="K52" s="14">
        <v>0</v>
      </c>
      <c r="L52" s="16">
        <v>0</v>
      </c>
      <c r="M52" s="14">
        <v>0</v>
      </c>
      <c r="N52" s="16">
        <v>0</v>
      </c>
      <c r="O52" s="14">
        <v>0</v>
      </c>
      <c r="P52" s="16">
        <v>0</v>
      </c>
      <c r="Q52" s="14">
        <v>0</v>
      </c>
      <c r="R52" s="16">
        <v>0</v>
      </c>
    </row>
    <row r="53" spans="1:18" x14ac:dyDescent="0.25">
      <c r="A53" s="11" t="s">
        <v>186</v>
      </c>
      <c r="B53" s="13">
        <v>2811</v>
      </c>
      <c r="C53" s="14">
        <f>(2373/B53*100)</f>
        <v>84.418356456776948</v>
      </c>
      <c r="D53" s="15">
        <v>438</v>
      </c>
      <c r="E53" s="14">
        <v>74.493405280000005</v>
      </c>
      <c r="F53" s="16">
        <v>1.8787179000000001</v>
      </c>
      <c r="G53" s="14">
        <v>25.506594719999999</v>
      </c>
      <c r="H53" s="16">
        <v>1.8787179000000001</v>
      </c>
      <c r="I53" s="14" t="s">
        <v>139</v>
      </c>
      <c r="J53" s="16" t="s">
        <v>139</v>
      </c>
      <c r="K53" s="14">
        <v>0</v>
      </c>
      <c r="L53" s="16">
        <v>0</v>
      </c>
      <c r="M53" s="14">
        <v>0</v>
      </c>
      <c r="N53" s="16">
        <v>0</v>
      </c>
      <c r="O53" s="14">
        <v>0</v>
      </c>
      <c r="P53" s="16">
        <v>0</v>
      </c>
      <c r="Q53" s="14">
        <v>0</v>
      </c>
      <c r="R53" s="16">
        <v>0</v>
      </c>
    </row>
    <row r="54" spans="1:18"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row>
    <row r="55" spans="1:18"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row>
    <row r="56" spans="1:18" x14ac:dyDescent="0.25">
      <c r="A56" s="11" t="s">
        <v>189</v>
      </c>
      <c r="B56" s="13">
        <v>2684</v>
      </c>
      <c r="C56" s="14">
        <f>(2255/B56*100)</f>
        <v>84.016393442622956</v>
      </c>
      <c r="D56" s="15">
        <v>429</v>
      </c>
      <c r="E56" s="14">
        <v>68.310719989999996</v>
      </c>
      <c r="F56" s="16">
        <v>2.1292895000000001</v>
      </c>
      <c r="G56" s="14">
        <v>31.689280010000001</v>
      </c>
      <c r="H56" s="16">
        <v>2.1292895000000001</v>
      </c>
      <c r="I56" s="14" t="s">
        <v>139</v>
      </c>
      <c r="J56" s="16" t="s">
        <v>139</v>
      </c>
      <c r="K56" s="14">
        <v>0</v>
      </c>
      <c r="L56" s="16">
        <v>0</v>
      </c>
      <c r="M56" s="14">
        <v>0</v>
      </c>
      <c r="N56" s="16">
        <v>0</v>
      </c>
      <c r="O56" s="14">
        <v>0</v>
      </c>
      <c r="P56" s="16">
        <v>0</v>
      </c>
      <c r="Q56" s="14">
        <v>0</v>
      </c>
      <c r="R56" s="16">
        <v>0</v>
      </c>
    </row>
    <row r="57" spans="1:18"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row>
    <row r="58" spans="1:18"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row>
    <row r="59" spans="1:18"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row>
    <row r="60" spans="1:18"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row>
    <row r="61" spans="1:18" x14ac:dyDescent="0.25">
      <c r="A61" s="11" t="s">
        <v>194</v>
      </c>
      <c r="B61" s="13">
        <v>3324</v>
      </c>
      <c r="C61" s="14">
        <f>(2822/B61*100)</f>
        <v>84.897713598074603</v>
      </c>
      <c r="D61" s="15">
        <v>502</v>
      </c>
      <c r="E61" s="14">
        <v>81.735050400000006</v>
      </c>
      <c r="F61" s="16">
        <v>2.0718448</v>
      </c>
      <c r="G61" s="14">
        <v>18.264949600000001</v>
      </c>
      <c r="H61" s="16">
        <v>2.0718448</v>
      </c>
      <c r="I61" s="14" t="s">
        <v>139</v>
      </c>
      <c r="J61" s="16" t="s">
        <v>139</v>
      </c>
      <c r="K61" s="14">
        <v>0</v>
      </c>
      <c r="L61" s="16">
        <v>0</v>
      </c>
      <c r="M61" s="14">
        <v>0</v>
      </c>
      <c r="N61" s="16">
        <v>0</v>
      </c>
      <c r="O61" s="14">
        <v>0</v>
      </c>
      <c r="P61" s="16">
        <v>0</v>
      </c>
      <c r="Q61" s="14">
        <v>0</v>
      </c>
      <c r="R61" s="16">
        <v>0</v>
      </c>
    </row>
    <row r="62" spans="1:18" x14ac:dyDescent="0.25">
      <c r="A62" s="11" t="s">
        <v>195</v>
      </c>
      <c r="B62" s="13">
        <v>2246</v>
      </c>
      <c r="C62" s="14">
        <f>(1878/B62*100)</f>
        <v>83.615316117542292</v>
      </c>
      <c r="D62" s="15">
        <v>368</v>
      </c>
      <c r="E62" s="14">
        <v>69.383899040000003</v>
      </c>
      <c r="F62" s="16">
        <v>2.5756659800000001</v>
      </c>
      <c r="G62" s="14">
        <v>30.616100960000001</v>
      </c>
      <c r="H62" s="16">
        <v>2.5756659800000001</v>
      </c>
      <c r="I62" s="14" t="s">
        <v>139</v>
      </c>
      <c r="J62" s="16" t="s">
        <v>139</v>
      </c>
      <c r="K62" s="14">
        <v>0</v>
      </c>
      <c r="L62" s="16">
        <v>0</v>
      </c>
      <c r="M62" s="14">
        <v>0</v>
      </c>
      <c r="N62" s="16">
        <v>0</v>
      </c>
      <c r="O62" s="14">
        <v>0</v>
      </c>
      <c r="P62" s="16">
        <v>0</v>
      </c>
      <c r="Q62" s="14">
        <v>0</v>
      </c>
      <c r="R62" s="16">
        <v>0</v>
      </c>
    </row>
    <row r="63" spans="1:18"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row>
    <row r="64" spans="1:18"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row>
    <row r="65" spans="1:18"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row>
    <row r="66" spans="1:18" x14ac:dyDescent="0.25">
      <c r="A66" s="11" t="s">
        <v>199</v>
      </c>
      <c r="B66" s="13">
        <v>2894</v>
      </c>
      <c r="C66" s="14">
        <f>(2470/B66*100)</f>
        <v>85.348997926744985</v>
      </c>
      <c r="D66" s="15">
        <v>424</v>
      </c>
      <c r="E66" s="14">
        <v>75.194101270000004</v>
      </c>
      <c r="F66" s="16">
        <v>1.9743671700000001</v>
      </c>
      <c r="G66" s="14">
        <v>24.805898729999999</v>
      </c>
      <c r="H66" s="16">
        <v>1.9743671700000001</v>
      </c>
      <c r="I66" s="14" t="s">
        <v>139</v>
      </c>
      <c r="J66" s="16" t="s">
        <v>139</v>
      </c>
      <c r="K66" s="14">
        <v>0</v>
      </c>
      <c r="L66" s="16">
        <v>0</v>
      </c>
      <c r="M66" s="14">
        <v>0</v>
      </c>
      <c r="N66" s="16">
        <v>0</v>
      </c>
      <c r="O66" s="14">
        <v>0</v>
      </c>
      <c r="P66" s="16">
        <v>0</v>
      </c>
      <c r="Q66" s="14">
        <v>0</v>
      </c>
      <c r="R66" s="16">
        <v>0</v>
      </c>
    </row>
    <row r="67" spans="1:18" x14ac:dyDescent="0.25">
      <c r="A67" s="11" t="s">
        <v>200</v>
      </c>
      <c r="B67" s="13">
        <v>3511</v>
      </c>
      <c r="C67" s="14">
        <f>(3065/B67*100)</f>
        <v>87.297066362859582</v>
      </c>
      <c r="D67" s="15">
        <v>446</v>
      </c>
      <c r="E67" s="14">
        <v>87.171447720000003</v>
      </c>
      <c r="F67" s="16">
        <v>1.54402434</v>
      </c>
      <c r="G67" s="14">
        <v>12.82855228</v>
      </c>
      <c r="H67" s="16">
        <v>1.54402434</v>
      </c>
      <c r="I67" s="14" t="s">
        <v>139</v>
      </c>
      <c r="J67" s="16" t="s">
        <v>139</v>
      </c>
      <c r="K67" s="14">
        <v>0</v>
      </c>
      <c r="L67" s="16">
        <v>0</v>
      </c>
      <c r="M67" s="14">
        <v>0</v>
      </c>
      <c r="N67" s="16">
        <v>0</v>
      </c>
      <c r="O67" s="14">
        <v>0</v>
      </c>
      <c r="P67" s="16">
        <v>0</v>
      </c>
      <c r="Q67" s="14">
        <v>0</v>
      </c>
      <c r="R67" s="16">
        <v>0</v>
      </c>
    </row>
    <row r="68" spans="1:18"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row>
    <row r="69" spans="1:18"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row>
    <row r="70" spans="1:18" x14ac:dyDescent="0.25">
      <c r="A70" s="11" t="s">
        <v>203</v>
      </c>
      <c r="B70" s="13">
        <v>2929</v>
      </c>
      <c r="C70" s="14">
        <f>(2480/B70*100)</f>
        <v>84.670536019119155</v>
      </c>
      <c r="D70" s="15">
        <v>449</v>
      </c>
      <c r="E70" s="14">
        <v>83.466277399999996</v>
      </c>
      <c r="F70" s="16">
        <v>2.5578793399999999</v>
      </c>
      <c r="G70" s="14">
        <v>16.533722600000001</v>
      </c>
      <c r="H70" s="16">
        <v>2.5578793399999999</v>
      </c>
      <c r="I70" s="14" t="s">
        <v>139</v>
      </c>
      <c r="J70" s="16" t="s">
        <v>139</v>
      </c>
      <c r="K70" s="14">
        <v>0</v>
      </c>
      <c r="L70" s="16">
        <v>0</v>
      </c>
      <c r="M70" s="14">
        <v>0</v>
      </c>
      <c r="N70" s="16">
        <v>0</v>
      </c>
      <c r="O70" s="14">
        <v>0</v>
      </c>
      <c r="P70" s="16">
        <v>0</v>
      </c>
      <c r="Q70" s="14">
        <v>0</v>
      </c>
      <c r="R70" s="16">
        <v>0</v>
      </c>
    </row>
    <row r="71" spans="1:18"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row>
    <row r="72" spans="1:18" x14ac:dyDescent="0.25">
      <c r="A72" s="11" t="s">
        <v>205</v>
      </c>
      <c r="B72" s="13">
        <v>3889</v>
      </c>
      <c r="C72" s="14">
        <f>(3219/B72*100)</f>
        <v>82.771920802262784</v>
      </c>
      <c r="D72" s="15">
        <v>670</v>
      </c>
      <c r="E72" s="14">
        <v>75.926338450000003</v>
      </c>
      <c r="F72" s="16">
        <v>1.7373421099999999</v>
      </c>
      <c r="G72" s="14">
        <v>24.073661550000001</v>
      </c>
      <c r="H72" s="16">
        <v>1.7373421099999999</v>
      </c>
      <c r="I72" s="14" t="s">
        <v>139</v>
      </c>
      <c r="J72" s="16" t="s">
        <v>139</v>
      </c>
      <c r="K72" s="14">
        <v>0</v>
      </c>
      <c r="L72" s="16">
        <v>0</v>
      </c>
      <c r="M72" s="14">
        <v>0</v>
      </c>
      <c r="N72" s="16">
        <v>0</v>
      </c>
      <c r="O72" s="14">
        <v>0</v>
      </c>
      <c r="P72" s="16">
        <v>0</v>
      </c>
      <c r="Q72" s="14">
        <v>0</v>
      </c>
      <c r="R72" s="16">
        <v>0</v>
      </c>
    </row>
    <row r="73" spans="1:18" x14ac:dyDescent="0.25">
      <c r="A73" s="11" t="s">
        <v>206</v>
      </c>
      <c r="B73" s="13">
        <v>3597</v>
      </c>
      <c r="C73" s="14">
        <f>(3063/B73*100)</f>
        <v>85.154295246038373</v>
      </c>
      <c r="D73" s="15">
        <v>534</v>
      </c>
      <c r="E73" s="14">
        <v>82.49845114</v>
      </c>
      <c r="F73" s="16">
        <v>1.80434648</v>
      </c>
      <c r="G73" s="14">
        <v>17.50154886</v>
      </c>
      <c r="H73" s="16">
        <v>1.80434648</v>
      </c>
      <c r="I73" s="14" t="s">
        <v>139</v>
      </c>
      <c r="J73" s="16" t="s">
        <v>139</v>
      </c>
      <c r="K73" s="14">
        <v>0</v>
      </c>
      <c r="L73" s="16">
        <v>0</v>
      </c>
      <c r="M73" s="14">
        <v>0</v>
      </c>
      <c r="N73" s="16">
        <v>0</v>
      </c>
      <c r="O73" s="14">
        <v>0</v>
      </c>
      <c r="P73" s="16">
        <v>0</v>
      </c>
      <c r="Q73" s="14">
        <v>0</v>
      </c>
      <c r="R73" s="16">
        <v>0</v>
      </c>
    </row>
    <row r="74" spans="1:18"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row>
    <row r="75" spans="1:18" x14ac:dyDescent="0.25">
      <c r="A75" s="11" t="s">
        <v>208</v>
      </c>
      <c r="B75" s="13">
        <v>2406</v>
      </c>
      <c r="C75" s="14">
        <f>(2070/B75*100)</f>
        <v>86.034912718204495</v>
      </c>
      <c r="D75" s="15">
        <v>336</v>
      </c>
      <c r="E75" s="14">
        <v>81.294173939999993</v>
      </c>
      <c r="F75" s="16">
        <v>2.1624694899999999</v>
      </c>
      <c r="G75" s="14">
        <v>18.70582606</v>
      </c>
      <c r="H75" s="16">
        <v>2.1624694899999999</v>
      </c>
      <c r="I75" s="14" t="s">
        <v>139</v>
      </c>
      <c r="J75" s="16" t="s">
        <v>139</v>
      </c>
      <c r="K75" s="14">
        <v>0</v>
      </c>
      <c r="L75" s="16">
        <v>0</v>
      </c>
      <c r="M75" s="14">
        <v>0</v>
      </c>
      <c r="N75" s="16">
        <v>0</v>
      </c>
      <c r="O75" s="14">
        <v>0</v>
      </c>
      <c r="P75" s="16">
        <v>0</v>
      </c>
      <c r="Q75" s="14">
        <v>0</v>
      </c>
      <c r="R75" s="16">
        <v>0</v>
      </c>
    </row>
    <row r="76" spans="1:18" x14ac:dyDescent="0.25">
      <c r="A76" s="11" t="s">
        <v>209</v>
      </c>
      <c r="B76" s="13">
        <v>7052</v>
      </c>
      <c r="C76" s="14">
        <f>(5883/B76*100)</f>
        <v>83.423142370958587</v>
      </c>
      <c r="D76" s="15">
        <v>1169</v>
      </c>
      <c r="E76" s="14">
        <v>81.37546743</v>
      </c>
      <c r="F76" s="16">
        <v>1.4793042599999999</v>
      </c>
      <c r="G76" s="14">
        <v>18.62453257</v>
      </c>
      <c r="H76" s="16">
        <v>1.4793042599999999</v>
      </c>
      <c r="I76" s="14" t="s">
        <v>139</v>
      </c>
      <c r="J76" s="16" t="s">
        <v>139</v>
      </c>
      <c r="K76" s="14">
        <v>0</v>
      </c>
      <c r="L76" s="16">
        <v>0</v>
      </c>
      <c r="M76" s="14">
        <v>0</v>
      </c>
      <c r="N76" s="16">
        <v>0</v>
      </c>
      <c r="O76" s="14">
        <v>0</v>
      </c>
      <c r="P76" s="16">
        <v>0</v>
      </c>
      <c r="Q76" s="14">
        <v>0</v>
      </c>
      <c r="R76" s="16">
        <v>0</v>
      </c>
    </row>
    <row r="77" spans="1:18" x14ac:dyDescent="0.25">
      <c r="A77" s="11" t="s">
        <v>210</v>
      </c>
      <c r="B77" s="13">
        <v>2908</v>
      </c>
      <c r="C77" s="14">
        <f>(2509/B77*100)</f>
        <v>86.279229711141681</v>
      </c>
      <c r="D77" s="15">
        <v>399</v>
      </c>
      <c r="E77" s="14">
        <v>81.572572710000003</v>
      </c>
      <c r="F77" s="16">
        <v>1.9320921799999999</v>
      </c>
      <c r="G77" s="14">
        <v>18.427427290000001</v>
      </c>
      <c r="H77" s="16">
        <v>1.9320921799999999</v>
      </c>
      <c r="I77" s="14" t="s">
        <v>139</v>
      </c>
      <c r="J77" s="16" t="s">
        <v>139</v>
      </c>
      <c r="K77" s="14">
        <v>0</v>
      </c>
      <c r="L77" s="16">
        <v>0</v>
      </c>
      <c r="M77" s="14">
        <v>0</v>
      </c>
      <c r="N77" s="16">
        <v>0</v>
      </c>
      <c r="O77" s="14">
        <v>0</v>
      </c>
      <c r="P77" s="16">
        <v>0</v>
      </c>
      <c r="Q77" s="14">
        <v>0</v>
      </c>
      <c r="R77" s="16">
        <v>0</v>
      </c>
    </row>
    <row r="78" spans="1:18"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row>
    <row r="79" spans="1:18"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row>
    <row r="80" spans="1:18"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row>
    <row r="81" spans="1:18" x14ac:dyDescent="0.25">
      <c r="A81" s="19" t="s">
        <v>214</v>
      </c>
      <c r="B81" s="13">
        <v>4163</v>
      </c>
      <c r="C81" s="14">
        <f>(3481/B81*100)</f>
        <v>83.617583473456648</v>
      </c>
      <c r="D81" s="15">
        <v>682</v>
      </c>
      <c r="E81" s="14">
        <v>79.578073059999994</v>
      </c>
      <c r="F81" s="16">
        <v>1.9970224000000001</v>
      </c>
      <c r="G81" s="14">
        <v>20.421926939999999</v>
      </c>
      <c r="H81" s="16">
        <v>1.9970224000000001</v>
      </c>
      <c r="I81" s="14" t="s">
        <v>139</v>
      </c>
      <c r="J81" s="16" t="s">
        <v>139</v>
      </c>
      <c r="K81" s="14">
        <v>0</v>
      </c>
      <c r="L81" s="16">
        <v>0</v>
      </c>
      <c r="M81" s="14">
        <v>0</v>
      </c>
      <c r="N81" s="16">
        <v>0</v>
      </c>
      <c r="O81" s="14">
        <v>0</v>
      </c>
      <c r="P81" s="16">
        <v>0</v>
      </c>
      <c r="Q81" s="14">
        <v>0</v>
      </c>
      <c r="R81" s="16">
        <v>0</v>
      </c>
    </row>
    <row r="82" spans="1:18"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row>
    <row r="83" spans="1:18" x14ac:dyDescent="0.25">
      <c r="A83" s="3" t="s">
        <v>216</v>
      </c>
    </row>
    <row r="84" spans="1:18" x14ac:dyDescent="0.25">
      <c r="A84" s="28" t="s">
        <v>217</v>
      </c>
      <c r="B84" s="26"/>
      <c r="C84" s="26"/>
      <c r="D84" s="26"/>
      <c r="E84" s="26"/>
      <c r="F84" s="26"/>
      <c r="G84" s="26"/>
      <c r="H84" s="26"/>
      <c r="I84" s="26"/>
      <c r="J84" s="26"/>
      <c r="K84" s="26"/>
      <c r="L84" s="26"/>
      <c r="M84" s="26"/>
      <c r="N84" s="26"/>
      <c r="O84" s="26"/>
      <c r="P84" s="26"/>
      <c r="Q84" s="26"/>
      <c r="R84" s="26"/>
    </row>
    <row r="85" spans="1:18" x14ac:dyDescent="0.25">
      <c r="A85" s="28" t="s">
        <v>218</v>
      </c>
      <c r="B85" s="26"/>
      <c r="C85" s="26"/>
      <c r="D85" s="26"/>
      <c r="E85" s="26"/>
      <c r="F85" s="26"/>
      <c r="G85" s="26"/>
      <c r="H85" s="26"/>
      <c r="I85" s="26"/>
      <c r="J85" s="26"/>
      <c r="K85" s="26"/>
      <c r="L85" s="26"/>
      <c r="M85" s="26"/>
      <c r="N85" s="26"/>
      <c r="O85" s="26"/>
      <c r="P85" s="26"/>
      <c r="Q85" s="26"/>
      <c r="R85" s="26"/>
    </row>
    <row r="86" spans="1:18" ht="30" customHeight="1" x14ac:dyDescent="0.25">
      <c r="A86" s="28" t="s">
        <v>219</v>
      </c>
      <c r="B86" s="26"/>
      <c r="C86" s="26"/>
      <c r="D86" s="26"/>
      <c r="E86" s="26"/>
      <c r="F86" s="26"/>
      <c r="G86" s="26"/>
      <c r="H86" s="26"/>
      <c r="I86" s="26"/>
      <c r="J86" s="26"/>
      <c r="K86" s="26"/>
      <c r="L86" s="26"/>
      <c r="M86" s="26"/>
      <c r="N86" s="26"/>
      <c r="O86" s="26"/>
      <c r="P86" s="26"/>
      <c r="Q86" s="26"/>
      <c r="R86" s="26"/>
    </row>
    <row r="87" spans="1:18" ht="30" customHeight="1" x14ac:dyDescent="0.25">
      <c r="A87" s="28" t="s">
        <v>215</v>
      </c>
      <c r="B87" s="26"/>
      <c r="C87" s="26"/>
      <c r="D87" s="26"/>
      <c r="E87" s="26"/>
      <c r="F87" s="26"/>
      <c r="G87" s="26"/>
      <c r="H87" s="26"/>
      <c r="I87" s="26"/>
      <c r="J87" s="26"/>
      <c r="K87" s="26"/>
      <c r="L87" s="26"/>
      <c r="M87" s="26"/>
      <c r="N87" s="26"/>
      <c r="O87" s="26"/>
      <c r="P87" s="26"/>
      <c r="Q87" s="26"/>
      <c r="R87" s="26"/>
    </row>
    <row r="88" spans="1:18" ht="30" customHeight="1" x14ac:dyDescent="0.25">
      <c r="A88" s="28" t="s">
        <v>220</v>
      </c>
      <c r="B88" s="26"/>
      <c r="C88" s="26"/>
      <c r="D88" s="26"/>
      <c r="E88" s="26"/>
      <c r="F88" s="26"/>
      <c r="G88" s="26"/>
      <c r="H88" s="26"/>
      <c r="I88" s="26"/>
      <c r="J88" s="26"/>
      <c r="K88" s="26"/>
      <c r="L88" s="26"/>
      <c r="M88" s="26"/>
      <c r="N88" s="26"/>
      <c r="O88" s="26"/>
      <c r="P88" s="26"/>
      <c r="Q88" s="26"/>
      <c r="R88" s="26"/>
    </row>
    <row r="89" spans="1:18" ht="30" customHeight="1" x14ac:dyDescent="0.25">
      <c r="A89" s="28" t="s">
        <v>221</v>
      </c>
      <c r="B89" s="26"/>
      <c r="C89" s="26"/>
      <c r="D89" s="26"/>
      <c r="E89" s="26"/>
      <c r="F89" s="26"/>
      <c r="G89" s="26"/>
      <c r="H89" s="26"/>
      <c r="I89" s="26"/>
      <c r="J89" s="26"/>
      <c r="K89" s="26"/>
      <c r="L89" s="26"/>
      <c r="M89" s="26"/>
      <c r="N89" s="26"/>
      <c r="O89" s="26"/>
      <c r="P89" s="26"/>
      <c r="Q89" s="26"/>
      <c r="R89" s="26"/>
    </row>
    <row r="90" spans="1:18" ht="30" customHeight="1" x14ac:dyDescent="0.25">
      <c r="A90" s="28" t="s">
        <v>222</v>
      </c>
      <c r="B90" s="26"/>
      <c r="C90" s="26"/>
      <c r="D90" s="26"/>
      <c r="E90" s="26"/>
      <c r="F90" s="26"/>
      <c r="G90" s="26"/>
      <c r="H90" s="26"/>
      <c r="I90" s="26"/>
      <c r="J90" s="26"/>
      <c r="K90" s="26"/>
      <c r="L90" s="26"/>
      <c r="M90" s="26"/>
      <c r="N90" s="26"/>
      <c r="O90" s="26"/>
      <c r="P90" s="26"/>
      <c r="Q90" s="26"/>
      <c r="R90" s="26"/>
    </row>
    <row r="91" spans="1:18" ht="30" customHeight="1" x14ac:dyDescent="0.25">
      <c r="A91" s="28" t="s">
        <v>223</v>
      </c>
      <c r="B91" s="26"/>
      <c r="C91" s="26"/>
      <c r="D91" s="26"/>
      <c r="E91" s="26"/>
      <c r="F91" s="26"/>
      <c r="G91" s="26"/>
      <c r="H91" s="26"/>
      <c r="I91" s="26"/>
      <c r="J91" s="26"/>
      <c r="K91" s="26"/>
      <c r="L91" s="26"/>
      <c r="M91" s="26"/>
      <c r="N91" s="26"/>
      <c r="O91" s="26"/>
      <c r="P91" s="26"/>
      <c r="Q91" s="26"/>
      <c r="R91" s="26"/>
    </row>
    <row r="92" spans="1:18" ht="30" customHeight="1" x14ac:dyDescent="0.25">
      <c r="A92" s="28" t="s">
        <v>224</v>
      </c>
      <c r="B92" s="26"/>
      <c r="C92" s="26"/>
      <c r="D92" s="26"/>
      <c r="E92" s="26"/>
      <c r="F92" s="26"/>
      <c r="G92" s="26"/>
      <c r="H92" s="26"/>
      <c r="I92" s="26"/>
      <c r="J92" s="26"/>
      <c r="K92" s="26"/>
      <c r="L92" s="26"/>
      <c r="M92" s="26"/>
      <c r="N92" s="26"/>
      <c r="O92" s="26"/>
      <c r="P92" s="26"/>
      <c r="Q92" s="26"/>
      <c r="R92" s="26"/>
    </row>
    <row r="93" spans="1:18" ht="30" customHeight="1" x14ac:dyDescent="0.25">
      <c r="A93" s="28" t="s">
        <v>225</v>
      </c>
      <c r="B93" s="26"/>
      <c r="C93" s="26"/>
      <c r="D93" s="26"/>
      <c r="E93" s="26"/>
      <c r="F93" s="26"/>
      <c r="G93" s="26"/>
      <c r="H93" s="26"/>
      <c r="I93" s="26"/>
      <c r="J93" s="26"/>
      <c r="K93" s="26"/>
      <c r="L93" s="26"/>
      <c r="M93" s="26"/>
      <c r="N93" s="26"/>
      <c r="O93" s="26"/>
      <c r="P93" s="26"/>
      <c r="Q93" s="26"/>
      <c r="R93" s="26"/>
    </row>
    <row r="94" spans="1:18" ht="30" customHeight="1" x14ac:dyDescent="0.25">
      <c r="A94" s="28" t="s">
        <v>226</v>
      </c>
      <c r="B94" s="26"/>
      <c r="C94" s="26"/>
      <c r="D94" s="26"/>
      <c r="E94" s="26"/>
      <c r="F94" s="26"/>
      <c r="G94" s="26"/>
      <c r="H94" s="26"/>
      <c r="I94" s="26"/>
      <c r="J94" s="26"/>
      <c r="K94" s="26"/>
      <c r="L94" s="26"/>
      <c r="M94" s="26"/>
      <c r="N94" s="26"/>
      <c r="O94" s="26"/>
      <c r="P94" s="26"/>
      <c r="Q94" s="26"/>
      <c r="R94" s="26"/>
    </row>
    <row r="95" spans="1:18" ht="30" customHeight="1" x14ac:dyDescent="0.25">
      <c r="A95" s="28" t="s">
        <v>227</v>
      </c>
      <c r="B95" s="26"/>
      <c r="C95" s="26"/>
      <c r="D95" s="26"/>
      <c r="E95" s="26"/>
      <c r="F95" s="26"/>
      <c r="G95" s="26"/>
      <c r="H95" s="26"/>
      <c r="I95" s="26"/>
      <c r="J95" s="26"/>
      <c r="K95" s="26"/>
      <c r="L95" s="26"/>
      <c r="M95" s="26"/>
      <c r="N95" s="26"/>
      <c r="O95" s="26"/>
      <c r="P95" s="26"/>
      <c r="Q95" s="26"/>
      <c r="R95" s="26"/>
    </row>
    <row r="96" spans="1:18" ht="30" customHeight="1" x14ac:dyDescent="0.25">
      <c r="A96" s="28" t="s">
        <v>228</v>
      </c>
      <c r="B96" s="26"/>
      <c r="C96" s="26"/>
      <c r="D96" s="26"/>
      <c r="E96" s="26"/>
      <c r="F96" s="26"/>
      <c r="G96" s="26"/>
      <c r="H96" s="26"/>
      <c r="I96" s="26"/>
      <c r="J96" s="26"/>
      <c r="K96" s="26"/>
      <c r="L96" s="26"/>
      <c r="M96" s="26"/>
      <c r="N96" s="26"/>
      <c r="O96" s="26"/>
      <c r="P96" s="26"/>
      <c r="Q96" s="26"/>
      <c r="R96" s="26"/>
    </row>
  </sheetData>
  <mergeCells count="22">
    <mergeCell ref="A95:R95"/>
    <mergeCell ref="A96:R96"/>
    <mergeCell ref="A90:R90"/>
    <mergeCell ref="A91:R91"/>
    <mergeCell ref="A92:R92"/>
    <mergeCell ref="A93:R93"/>
    <mergeCell ref="A94:R94"/>
    <mergeCell ref="A85:R85"/>
    <mergeCell ref="A86:R86"/>
    <mergeCell ref="A87:R87"/>
    <mergeCell ref="A88:R88"/>
    <mergeCell ref="A89:R89"/>
    <mergeCell ref="O4:P4"/>
    <mergeCell ref="Q4:R4"/>
    <mergeCell ref="A1:R1"/>
    <mergeCell ref="A2:R2"/>
    <mergeCell ref="A84:R84"/>
    <mergeCell ref="E4:F4"/>
    <mergeCell ref="G4:H4"/>
    <mergeCell ref="I4:J4"/>
    <mergeCell ref="K4:L4"/>
    <mergeCell ref="M4:N4"/>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T96"/>
  <sheetViews>
    <sheetView zoomScale="80" workbookViewId="0">
      <pane xSplit="4" topLeftCell="E1" activePane="topRight" state="frozen"/>
      <selection pane="topRight" sqref="A1:T1"/>
    </sheetView>
  </sheetViews>
  <sheetFormatPr defaultColWidth="11.42578125" defaultRowHeight="15" x14ac:dyDescent="0.25"/>
  <cols>
    <col min="1" max="1" width="50" customWidth="1"/>
  </cols>
  <sheetData>
    <row r="1" spans="1:20" x14ac:dyDescent="0.25">
      <c r="A1" s="25" t="s">
        <v>122</v>
      </c>
      <c r="B1" s="26"/>
      <c r="C1" s="26"/>
      <c r="D1" s="26"/>
      <c r="E1" s="26"/>
      <c r="F1" s="26"/>
      <c r="G1" s="26"/>
      <c r="H1" s="26"/>
      <c r="I1" s="26"/>
      <c r="J1" s="26"/>
      <c r="K1" s="26"/>
      <c r="L1" s="26"/>
      <c r="M1" s="26"/>
      <c r="N1" s="26"/>
      <c r="O1" s="26"/>
      <c r="P1" s="26"/>
      <c r="Q1" s="26"/>
      <c r="R1" s="26"/>
      <c r="S1" s="26"/>
      <c r="T1" s="26"/>
    </row>
    <row r="2" spans="1:20" x14ac:dyDescent="0.25">
      <c r="A2" s="27" t="s">
        <v>340</v>
      </c>
      <c r="B2" s="26"/>
      <c r="C2" s="26"/>
      <c r="D2" s="26"/>
      <c r="E2" s="26"/>
      <c r="F2" s="26"/>
      <c r="G2" s="26"/>
      <c r="H2" s="26"/>
      <c r="I2" s="26"/>
      <c r="J2" s="26"/>
      <c r="K2" s="26"/>
      <c r="L2" s="26"/>
      <c r="M2" s="26"/>
      <c r="N2" s="26"/>
      <c r="O2" s="26"/>
      <c r="P2" s="26"/>
      <c r="Q2" s="26"/>
      <c r="R2" s="26"/>
      <c r="S2" s="26"/>
      <c r="T2" s="26"/>
    </row>
    <row r="4" spans="1:20" ht="30" customHeight="1" x14ac:dyDescent="0.25">
      <c r="A4" s="4"/>
      <c r="B4" s="5" t="s">
        <v>123</v>
      </c>
      <c r="C4" s="5" t="s">
        <v>124</v>
      </c>
      <c r="D4" s="6" t="s">
        <v>123</v>
      </c>
      <c r="E4" s="23" t="s">
        <v>230</v>
      </c>
      <c r="F4" s="24"/>
      <c r="G4" s="23" t="s">
        <v>231</v>
      </c>
      <c r="H4" s="24"/>
      <c r="I4" s="23" t="s">
        <v>233</v>
      </c>
      <c r="J4" s="24"/>
      <c r="K4" s="23" t="s">
        <v>127</v>
      </c>
      <c r="L4" s="24"/>
      <c r="M4" s="23" t="s">
        <v>128</v>
      </c>
      <c r="N4" s="24"/>
      <c r="O4" s="23" t="s">
        <v>129</v>
      </c>
      <c r="P4" s="24"/>
      <c r="Q4" s="23" t="s">
        <v>130</v>
      </c>
      <c r="R4" s="24"/>
      <c r="S4" s="23" t="s">
        <v>131</v>
      </c>
      <c r="T4" s="24"/>
    </row>
    <row r="5" spans="1:20" x14ac:dyDescent="0.25">
      <c r="A5" s="7"/>
      <c r="B5" s="8" t="s">
        <v>132</v>
      </c>
      <c r="C5" s="8" t="s">
        <v>133</v>
      </c>
      <c r="D5" s="7" t="s">
        <v>134</v>
      </c>
      <c r="E5" s="8" t="s">
        <v>135</v>
      </c>
      <c r="F5" s="7" t="s">
        <v>136</v>
      </c>
      <c r="G5" s="8" t="s">
        <v>135</v>
      </c>
      <c r="H5" s="7" t="s">
        <v>136</v>
      </c>
      <c r="I5" s="8" t="s">
        <v>135</v>
      </c>
      <c r="J5" s="7" t="s">
        <v>136</v>
      </c>
      <c r="K5" s="8" t="s">
        <v>135</v>
      </c>
      <c r="L5" s="7" t="s">
        <v>136</v>
      </c>
      <c r="M5" s="8" t="s">
        <v>135</v>
      </c>
      <c r="N5" s="7" t="s">
        <v>136</v>
      </c>
      <c r="O5" s="8" t="s">
        <v>135</v>
      </c>
      <c r="P5" s="7" t="s">
        <v>136</v>
      </c>
      <c r="Q5" s="8" t="s">
        <v>135</v>
      </c>
      <c r="R5" s="7" t="s">
        <v>136</v>
      </c>
      <c r="S5" s="8" t="s">
        <v>135</v>
      </c>
      <c r="T5" s="7" t="s">
        <v>136</v>
      </c>
    </row>
    <row r="6" spans="1:20" x14ac:dyDescent="0.25">
      <c r="A6" s="9" t="s">
        <v>137</v>
      </c>
      <c r="B6" s="10"/>
      <c r="C6" s="10"/>
      <c r="D6" s="11"/>
      <c r="E6" s="10"/>
      <c r="F6" s="11"/>
      <c r="G6" s="10"/>
      <c r="H6" s="11"/>
      <c r="I6" s="10"/>
      <c r="J6" s="11"/>
      <c r="K6" s="10"/>
      <c r="L6" s="11"/>
      <c r="M6" s="10"/>
      <c r="N6" s="11"/>
      <c r="O6" s="10"/>
      <c r="P6" s="11"/>
      <c r="Q6" s="10"/>
      <c r="R6" s="11"/>
      <c r="S6" s="10"/>
      <c r="T6" s="12"/>
    </row>
    <row r="7" spans="1:20" x14ac:dyDescent="0.25">
      <c r="A7" s="11" t="s">
        <v>138</v>
      </c>
      <c r="B7" s="13">
        <v>7367</v>
      </c>
      <c r="C7" s="14">
        <f>(6259/B7*100)</f>
        <v>84.959956563051435</v>
      </c>
      <c r="D7" s="15">
        <v>1108</v>
      </c>
      <c r="E7" s="14">
        <v>47.186929290000002</v>
      </c>
      <c r="F7" s="16">
        <v>1.58392793</v>
      </c>
      <c r="G7" s="14">
        <v>23.498811759999999</v>
      </c>
      <c r="H7" s="16">
        <v>1.5638354000000001</v>
      </c>
      <c r="I7" s="14">
        <v>29.314258949999999</v>
      </c>
      <c r="J7" s="16">
        <v>1.51615725</v>
      </c>
      <c r="K7" s="14" t="s">
        <v>139</v>
      </c>
      <c r="L7" s="16" t="s">
        <v>139</v>
      </c>
      <c r="M7" s="14">
        <v>0</v>
      </c>
      <c r="N7" s="16">
        <v>0</v>
      </c>
      <c r="O7" s="14">
        <v>0</v>
      </c>
      <c r="P7" s="16">
        <v>0</v>
      </c>
      <c r="Q7" s="14">
        <v>0</v>
      </c>
      <c r="R7" s="16">
        <v>0</v>
      </c>
      <c r="S7" s="14">
        <v>0</v>
      </c>
      <c r="T7" s="16">
        <v>0</v>
      </c>
    </row>
    <row r="8" spans="1:20" x14ac:dyDescent="0.25">
      <c r="A8" s="11" t="s">
        <v>140</v>
      </c>
      <c r="B8" s="13">
        <v>3564</v>
      </c>
      <c r="C8" s="14">
        <f>(3007/B8*100)</f>
        <v>84.371492704826039</v>
      </c>
      <c r="D8" s="15">
        <v>557</v>
      </c>
      <c r="E8" s="14">
        <v>47.633616519999997</v>
      </c>
      <c r="F8" s="16">
        <v>2.2779709100000001</v>
      </c>
      <c r="G8" s="14">
        <v>27.022954840000001</v>
      </c>
      <c r="H8" s="16">
        <v>2.0972175900000001</v>
      </c>
      <c r="I8" s="14">
        <v>25.343428639999999</v>
      </c>
      <c r="J8" s="16">
        <v>2.4381147200000002</v>
      </c>
      <c r="K8" s="14" t="s">
        <v>139</v>
      </c>
      <c r="L8" s="16" t="s">
        <v>139</v>
      </c>
      <c r="M8" s="14">
        <v>0</v>
      </c>
      <c r="N8" s="16">
        <v>0</v>
      </c>
      <c r="O8" s="14">
        <v>0</v>
      </c>
      <c r="P8" s="16">
        <v>0</v>
      </c>
      <c r="Q8" s="14">
        <v>0</v>
      </c>
      <c r="R8" s="16">
        <v>0</v>
      </c>
      <c r="S8" s="14">
        <v>0</v>
      </c>
      <c r="T8" s="16">
        <v>0</v>
      </c>
    </row>
    <row r="9" spans="1:20" x14ac:dyDescent="0.25">
      <c r="A9" s="11" t="s">
        <v>141</v>
      </c>
      <c r="B9" s="13">
        <v>4899</v>
      </c>
      <c r="C9" s="14">
        <f>(4184/B9*100)</f>
        <v>85.405184731577876</v>
      </c>
      <c r="D9" s="15">
        <v>715</v>
      </c>
      <c r="E9" s="14">
        <v>52.728918270000001</v>
      </c>
      <c r="F9" s="16">
        <v>2.0220167600000001</v>
      </c>
      <c r="G9" s="14">
        <v>25.660740530000002</v>
      </c>
      <c r="H9" s="16">
        <v>1.7155084899999999</v>
      </c>
      <c r="I9" s="14">
        <v>21.610341200000001</v>
      </c>
      <c r="J9" s="16">
        <v>1.5307143400000001</v>
      </c>
      <c r="K9" s="14" t="s">
        <v>139</v>
      </c>
      <c r="L9" s="16" t="s">
        <v>139</v>
      </c>
      <c r="M9" s="14">
        <v>0</v>
      </c>
      <c r="N9" s="16">
        <v>0</v>
      </c>
      <c r="O9" s="14">
        <v>0</v>
      </c>
      <c r="P9" s="16">
        <v>0</v>
      </c>
      <c r="Q9" s="14">
        <v>0</v>
      </c>
      <c r="R9" s="16">
        <v>0</v>
      </c>
      <c r="S9" s="14">
        <v>0</v>
      </c>
      <c r="T9" s="16">
        <v>0</v>
      </c>
    </row>
    <row r="10" spans="1:20" x14ac:dyDescent="0.25">
      <c r="A10" s="11" t="s">
        <v>142</v>
      </c>
      <c r="B10" s="13">
        <v>10036</v>
      </c>
      <c r="C10" s="14">
        <f>(8415/B10*100)</f>
        <v>83.848146671980871</v>
      </c>
      <c r="D10" s="15">
        <v>1621</v>
      </c>
      <c r="E10" s="14">
        <v>44.851565770000001</v>
      </c>
      <c r="F10" s="16">
        <v>1.5744863899999999</v>
      </c>
      <c r="G10" s="14">
        <v>22.774897060000001</v>
      </c>
      <c r="H10" s="16">
        <v>1.25099699</v>
      </c>
      <c r="I10" s="14">
        <v>32.373537169999999</v>
      </c>
      <c r="J10" s="16">
        <v>1.6311436500000001</v>
      </c>
      <c r="K10" s="14" t="s">
        <v>139</v>
      </c>
      <c r="L10" s="16" t="s">
        <v>139</v>
      </c>
      <c r="M10" s="14">
        <v>0</v>
      </c>
      <c r="N10" s="16">
        <v>0</v>
      </c>
      <c r="O10" s="14">
        <v>0</v>
      </c>
      <c r="P10" s="16">
        <v>0</v>
      </c>
      <c r="Q10" s="14">
        <v>0</v>
      </c>
      <c r="R10" s="16">
        <v>0</v>
      </c>
      <c r="S10" s="14">
        <v>0</v>
      </c>
      <c r="T10" s="16">
        <v>0</v>
      </c>
    </row>
    <row r="11" spans="1:20" x14ac:dyDescent="0.25">
      <c r="A11" s="11" t="s">
        <v>143</v>
      </c>
      <c r="B11" s="13">
        <v>3553</v>
      </c>
      <c r="C11" s="14">
        <f>(3027/B11*100)</f>
        <v>85.195609344216152</v>
      </c>
      <c r="D11" s="15">
        <v>526</v>
      </c>
      <c r="E11" s="14">
        <v>40.68855782</v>
      </c>
      <c r="F11" s="16">
        <v>2.2289678300000002</v>
      </c>
      <c r="G11" s="14">
        <v>37.458545450000003</v>
      </c>
      <c r="H11" s="16">
        <v>2.2923380299999998</v>
      </c>
      <c r="I11" s="14">
        <v>21.852896730000001</v>
      </c>
      <c r="J11" s="16">
        <v>1.8999610199999999</v>
      </c>
      <c r="K11" s="14" t="s">
        <v>139</v>
      </c>
      <c r="L11" s="16" t="s">
        <v>139</v>
      </c>
      <c r="M11" s="14">
        <v>0</v>
      </c>
      <c r="N11" s="16">
        <v>0</v>
      </c>
      <c r="O11" s="14">
        <v>0</v>
      </c>
      <c r="P11" s="16">
        <v>0</v>
      </c>
      <c r="Q11" s="14">
        <v>0</v>
      </c>
      <c r="R11" s="16">
        <v>0</v>
      </c>
      <c r="S11" s="14">
        <v>0</v>
      </c>
      <c r="T11" s="16">
        <v>0</v>
      </c>
    </row>
    <row r="12" spans="1:20" x14ac:dyDescent="0.25">
      <c r="A12" s="11" t="s">
        <v>144</v>
      </c>
      <c r="B12" s="13">
        <v>3472</v>
      </c>
      <c r="C12" s="14">
        <f>(2912/B12*100)</f>
        <v>83.870967741935488</v>
      </c>
      <c r="D12" s="15">
        <v>560</v>
      </c>
      <c r="E12" s="14">
        <v>48.806934810000001</v>
      </c>
      <c r="F12" s="16">
        <v>2.08952742</v>
      </c>
      <c r="G12" s="14">
        <v>20.080726989999999</v>
      </c>
      <c r="H12" s="16">
        <v>1.6250492700000001</v>
      </c>
      <c r="I12" s="14">
        <v>31.1123382</v>
      </c>
      <c r="J12" s="16">
        <v>2.0261224699999998</v>
      </c>
      <c r="K12" s="14" t="s">
        <v>139</v>
      </c>
      <c r="L12" s="16" t="s">
        <v>139</v>
      </c>
      <c r="M12" s="14">
        <v>0</v>
      </c>
      <c r="N12" s="16">
        <v>0</v>
      </c>
      <c r="O12" s="14">
        <v>0</v>
      </c>
      <c r="P12" s="16">
        <v>0</v>
      </c>
      <c r="Q12" s="14">
        <v>0</v>
      </c>
      <c r="R12" s="16">
        <v>0</v>
      </c>
      <c r="S12" s="14">
        <v>0</v>
      </c>
      <c r="T12" s="16">
        <v>0</v>
      </c>
    </row>
    <row r="13" spans="1:20" x14ac:dyDescent="0.25">
      <c r="A13" s="11" t="s">
        <v>145</v>
      </c>
      <c r="B13" s="13">
        <v>3559</v>
      </c>
      <c r="C13" s="14">
        <f>(3049/B13*100)</f>
        <v>85.670132059567294</v>
      </c>
      <c r="D13" s="15">
        <v>510</v>
      </c>
      <c r="E13" s="14">
        <v>36.949109970000002</v>
      </c>
      <c r="F13" s="16">
        <v>2.21983051</v>
      </c>
      <c r="G13" s="14">
        <v>28.755171929999999</v>
      </c>
      <c r="H13" s="16">
        <v>2.1251865099999998</v>
      </c>
      <c r="I13" s="14">
        <v>34.295718100000002</v>
      </c>
      <c r="J13" s="16">
        <v>2.5224086400000001</v>
      </c>
      <c r="K13" s="14" t="s">
        <v>139</v>
      </c>
      <c r="L13" s="16" t="s">
        <v>139</v>
      </c>
      <c r="M13" s="14">
        <v>0</v>
      </c>
      <c r="N13" s="16">
        <v>0</v>
      </c>
      <c r="O13" s="14">
        <v>0</v>
      </c>
      <c r="P13" s="16">
        <v>0</v>
      </c>
      <c r="Q13" s="14">
        <v>0</v>
      </c>
      <c r="R13" s="16">
        <v>0</v>
      </c>
      <c r="S13" s="14">
        <v>0</v>
      </c>
      <c r="T13" s="16">
        <v>0</v>
      </c>
    </row>
    <row r="14" spans="1:20" x14ac:dyDescent="0.25">
      <c r="A14" s="11" t="s">
        <v>146</v>
      </c>
      <c r="B14" s="13">
        <v>2799</v>
      </c>
      <c r="C14" s="14">
        <f>(2348/B14*100)</f>
        <v>83.887102536620219</v>
      </c>
      <c r="D14" s="15">
        <v>451</v>
      </c>
      <c r="E14" s="14">
        <v>53.678025519999998</v>
      </c>
      <c r="F14" s="16">
        <v>2.7946716399999998</v>
      </c>
      <c r="G14" s="14">
        <v>19.211050419999999</v>
      </c>
      <c r="H14" s="16">
        <v>1.90583273</v>
      </c>
      <c r="I14" s="14">
        <v>27.110924050000001</v>
      </c>
      <c r="J14" s="16">
        <v>2.1616673300000002</v>
      </c>
      <c r="K14" s="14" t="s">
        <v>139</v>
      </c>
      <c r="L14" s="16" t="s">
        <v>139</v>
      </c>
      <c r="M14" s="14">
        <v>0</v>
      </c>
      <c r="N14" s="16">
        <v>0</v>
      </c>
      <c r="O14" s="14">
        <v>0</v>
      </c>
      <c r="P14" s="16">
        <v>0</v>
      </c>
      <c r="Q14" s="14">
        <v>0</v>
      </c>
      <c r="R14" s="16">
        <v>0</v>
      </c>
      <c r="S14" s="14">
        <v>0</v>
      </c>
      <c r="T14" s="16">
        <v>0</v>
      </c>
    </row>
    <row r="15" spans="1:20" x14ac:dyDescent="0.25">
      <c r="A15" s="11" t="s">
        <v>147</v>
      </c>
      <c r="B15" s="13">
        <v>3019</v>
      </c>
      <c r="C15" s="14">
        <f>(2534/B15*100)</f>
        <v>83.935077840344491</v>
      </c>
      <c r="D15" s="15">
        <v>485</v>
      </c>
      <c r="E15" s="14">
        <v>41.038644099999999</v>
      </c>
      <c r="F15" s="16">
        <v>2.5930860500000001</v>
      </c>
      <c r="G15" s="14">
        <v>26.46515265</v>
      </c>
      <c r="H15" s="16">
        <v>1.95300747</v>
      </c>
      <c r="I15" s="14">
        <v>32.496203250000001</v>
      </c>
      <c r="J15" s="16">
        <v>2.6909036300000002</v>
      </c>
      <c r="K15" s="14" t="s">
        <v>139</v>
      </c>
      <c r="L15" s="16" t="s">
        <v>139</v>
      </c>
      <c r="M15" s="14">
        <v>0</v>
      </c>
      <c r="N15" s="16">
        <v>0</v>
      </c>
      <c r="O15" s="14">
        <v>0</v>
      </c>
      <c r="P15" s="16">
        <v>0</v>
      </c>
      <c r="Q15" s="14">
        <v>0</v>
      </c>
      <c r="R15" s="16">
        <v>0</v>
      </c>
      <c r="S15" s="14">
        <v>0</v>
      </c>
      <c r="T15" s="16">
        <v>0</v>
      </c>
    </row>
    <row r="16" spans="1:20" x14ac:dyDescent="0.25">
      <c r="A16" s="11" t="s">
        <v>148</v>
      </c>
      <c r="B16" s="13">
        <v>2997</v>
      </c>
      <c r="C16" s="14">
        <f>(2548/B16*100)</f>
        <v>85.018351685018359</v>
      </c>
      <c r="D16" s="15">
        <v>449</v>
      </c>
      <c r="E16" s="14">
        <v>50.033452250000003</v>
      </c>
      <c r="F16" s="16">
        <v>2.0970261799999999</v>
      </c>
      <c r="G16" s="14">
        <v>25.989981220000001</v>
      </c>
      <c r="H16" s="16">
        <v>2.0708058399999998</v>
      </c>
      <c r="I16" s="14">
        <v>23.976566519999999</v>
      </c>
      <c r="J16" s="16">
        <v>2.0832056099999998</v>
      </c>
      <c r="K16" s="14" t="s">
        <v>139</v>
      </c>
      <c r="L16" s="16" t="s">
        <v>139</v>
      </c>
      <c r="M16" s="14">
        <v>0</v>
      </c>
      <c r="N16" s="16">
        <v>0</v>
      </c>
      <c r="O16" s="14">
        <v>0</v>
      </c>
      <c r="P16" s="16">
        <v>0</v>
      </c>
      <c r="Q16" s="14">
        <v>0</v>
      </c>
      <c r="R16" s="16">
        <v>0</v>
      </c>
      <c r="S16" s="14">
        <v>0</v>
      </c>
      <c r="T16" s="16">
        <v>0</v>
      </c>
    </row>
    <row r="17" spans="1:20" x14ac:dyDescent="0.25">
      <c r="A17" s="11" t="s">
        <v>149</v>
      </c>
      <c r="B17" s="13">
        <v>3307</v>
      </c>
      <c r="C17" s="14">
        <f>(2834/B17*100)</f>
        <v>85.697006350166319</v>
      </c>
      <c r="D17" s="15">
        <v>473</v>
      </c>
      <c r="E17" s="14">
        <v>47.781626979999999</v>
      </c>
      <c r="F17" s="16">
        <v>2.4835940500000002</v>
      </c>
      <c r="G17" s="14">
        <v>26.50653651</v>
      </c>
      <c r="H17" s="16">
        <v>2.2567439299999998</v>
      </c>
      <c r="I17" s="14">
        <v>25.711836519999999</v>
      </c>
      <c r="J17" s="16">
        <v>2.1309049400000002</v>
      </c>
      <c r="K17" s="14" t="s">
        <v>139</v>
      </c>
      <c r="L17" s="16" t="s">
        <v>139</v>
      </c>
      <c r="M17" s="14">
        <v>0</v>
      </c>
      <c r="N17" s="16">
        <v>0</v>
      </c>
      <c r="O17" s="14">
        <v>0</v>
      </c>
      <c r="P17" s="16">
        <v>0</v>
      </c>
      <c r="Q17" s="14">
        <v>0</v>
      </c>
      <c r="R17" s="16">
        <v>0</v>
      </c>
      <c r="S17" s="14">
        <v>0</v>
      </c>
      <c r="T17" s="16">
        <v>0</v>
      </c>
    </row>
    <row r="18" spans="1:20" x14ac:dyDescent="0.25">
      <c r="A18" s="11" t="s">
        <v>150</v>
      </c>
      <c r="B18" s="13">
        <v>2826</v>
      </c>
      <c r="C18" s="14">
        <f>(2367/B18*100)</f>
        <v>83.757961783439498</v>
      </c>
      <c r="D18" s="15">
        <v>459</v>
      </c>
      <c r="E18" s="14">
        <v>54.932896020000001</v>
      </c>
      <c r="F18" s="16">
        <v>2.31636788</v>
      </c>
      <c r="G18" s="14">
        <v>27.907242570000001</v>
      </c>
      <c r="H18" s="16">
        <v>2.0336770199999998</v>
      </c>
      <c r="I18" s="14">
        <v>17.159861410000001</v>
      </c>
      <c r="J18" s="16">
        <v>2.2287871899999998</v>
      </c>
      <c r="K18" s="14" t="s">
        <v>139</v>
      </c>
      <c r="L18" s="16" t="s">
        <v>139</v>
      </c>
      <c r="M18" s="14">
        <v>0</v>
      </c>
      <c r="N18" s="16">
        <v>0</v>
      </c>
      <c r="O18" s="14">
        <v>0</v>
      </c>
      <c r="P18" s="16">
        <v>0</v>
      </c>
      <c r="Q18" s="14">
        <v>0</v>
      </c>
      <c r="R18" s="16">
        <v>0</v>
      </c>
      <c r="S18" s="14">
        <v>0</v>
      </c>
      <c r="T18" s="16">
        <v>0</v>
      </c>
    </row>
    <row r="19" spans="1:20" x14ac:dyDescent="0.25">
      <c r="A19" s="11" t="s">
        <v>151</v>
      </c>
      <c r="B19" s="13">
        <v>2808</v>
      </c>
      <c r="C19" s="14">
        <f>(2387/B19*100)</f>
        <v>85.007122507122517</v>
      </c>
      <c r="D19" s="15">
        <v>421</v>
      </c>
      <c r="E19" s="14">
        <v>52.749934230000001</v>
      </c>
      <c r="F19" s="16">
        <v>3.0076076999999999</v>
      </c>
      <c r="G19" s="14">
        <v>24.675928880000001</v>
      </c>
      <c r="H19" s="16">
        <v>2.80192766</v>
      </c>
      <c r="I19" s="14">
        <v>22.574136889999998</v>
      </c>
      <c r="J19" s="16">
        <v>1.9487671600000001</v>
      </c>
      <c r="K19" s="14" t="s">
        <v>139</v>
      </c>
      <c r="L19" s="16" t="s">
        <v>139</v>
      </c>
      <c r="M19" s="14">
        <v>0</v>
      </c>
      <c r="N19" s="16">
        <v>0</v>
      </c>
      <c r="O19" s="14">
        <v>0</v>
      </c>
      <c r="P19" s="16">
        <v>0</v>
      </c>
      <c r="Q19" s="14">
        <v>0</v>
      </c>
      <c r="R19" s="16">
        <v>0</v>
      </c>
      <c r="S19" s="14">
        <v>0</v>
      </c>
      <c r="T19" s="16">
        <v>0</v>
      </c>
    </row>
    <row r="20" spans="1:20" x14ac:dyDescent="0.25">
      <c r="A20" s="11" t="s">
        <v>152</v>
      </c>
      <c r="B20" s="13">
        <v>1630</v>
      </c>
      <c r="C20" s="14">
        <f>(1379/B20*100)</f>
        <v>84.601226993865026</v>
      </c>
      <c r="D20" s="15">
        <v>251</v>
      </c>
      <c r="E20" s="14">
        <v>46.647910629999998</v>
      </c>
      <c r="F20" s="16">
        <v>3.0825399199999999</v>
      </c>
      <c r="G20" s="14">
        <v>29.049766699999999</v>
      </c>
      <c r="H20" s="16">
        <v>2.3557782600000001</v>
      </c>
      <c r="I20" s="14">
        <v>24.302322669999999</v>
      </c>
      <c r="J20" s="16">
        <v>2.9035236800000002</v>
      </c>
      <c r="K20" s="14" t="s">
        <v>139</v>
      </c>
      <c r="L20" s="16" t="s">
        <v>139</v>
      </c>
      <c r="M20" s="14">
        <v>0</v>
      </c>
      <c r="N20" s="16">
        <v>0</v>
      </c>
      <c r="O20" s="14">
        <v>0</v>
      </c>
      <c r="P20" s="16">
        <v>0</v>
      </c>
      <c r="Q20" s="14">
        <v>0</v>
      </c>
      <c r="R20" s="16">
        <v>0</v>
      </c>
      <c r="S20" s="14">
        <v>0</v>
      </c>
      <c r="T20" s="16">
        <v>0</v>
      </c>
    </row>
    <row r="21" spans="1:20" x14ac:dyDescent="0.25">
      <c r="A21" s="11" t="s">
        <v>153</v>
      </c>
      <c r="B21" s="17" t="s">
        <v>154</v>
      </c>
      <c r="C21" s="17" t="s">
        <v>154</v>
      </c>
      <c r="D21" s="18" t="s">
        <v>154</v>
      </c>
      <c r="E21" s="17" t="s">
        <v>154</v>
      </c>
      <c r="F21" s="18" t="s">
        <v>154</v>
      </c>
      <c r="G21" s="17" t="s">
        <v>154</v>
      </c>
      <c r="H21" s="18" t="s">
        <v>154</v>
      </c>
      <c r="I21" s="17" t="s">
        <v>154</v>
      </c>
      <c r="J21" s="18" t="s">
        <v>154</v>
      </c>
      <c r="K21" s="17" t="s">
        <v>154</v>
      </c>
      <c r="L21" s="18" t="s">
        <v>154</v>
      </c>
      <c r="M21" s="17" t="s">
        <v>154</v>
      </c>
      <c r="N21" s="18" t="s">
        <v>154</v>
      </c>
      <c r="O21" s="17" t="s">
        <v>154</v>
      </c>
      <c r="P21" s="18" t="s">
        <v>154</v>
      </c>
      <c r="Q21" s="17" t="s">
        <v>154</v>
      </c>
      <c r="R21" s="18" t="s">
        <v>154</v>
      </c>
      <c r="S21" s="17" t="s">
        <v>154</v>
      </c>
      <c r="T21" s="18" t="s">
        <v>154</v>
      </c>
    </row>
    <row r="22" spans="1:20" x14ac:dyDescent="0.25">
      <c r="A22" s="11" t="s">
        <v>155</v>
      </c>
      <c r="B22" s="13">
        <v>2931</v>
      </c>
      <c r="C22" s="14">
        <f>(2472/B22*100)</f>
        <v>84.339815762538379</v>
      </c>
      <c r="D22" s="15">
        <v>459</v>
      </c>
      <c r="E22" s="14">
        <v>61.35794946</v>
      </c>
      <c r="F22" s="16">
        <v>2.1240608600000002</v>
      </c>
      <c r="G22" s="14">
        <v>17.59514188</v>
      </c>
      <c r="H22" s="16">
        <v>1.5767642100000001</v>
      </c>
      <c r="I22" s="14">
        <v>21.046908649999999</v>
      </c>
      <c r="J22" s="16">
        <v>1.77323287</v>
      </c>
      <c r="K22" s="14" t="s">
        <v>139</v>
      </c>
      <c r="L22" s="16" t="s">
        <v>139</v>
      </c>
      <c r="M22" s="14">
        <v>0</v>
      </c>
      <c r="N22" s="16">
        <v>0</v>
      </c>
      <c r="O22" s="14">
        <v>0</v>
      </c>
      <c r="P22" s="16">
        <v>0</v>
      </c>
      <c r="Q22" s="14">
        <v>0</v>
      </c>
      <c r="R22" s="16">
        <v>0</v>
      </c>
      <c r="S22" s="14">
        <v>0</v>
      </c>
      <c r="T22" s="16">
        <v>0</v>
      </c>
    </row>
    <row r="23" spans="1:20" x14ac:dyDescent="0.25">
      <c r="A23" s="11" t="s">
        <v>156</v>
      </c>
      <c r="B23" s="13">
        <v>5791</v>
      </c>
      <c r="C23" s="14">
        <f>(4852/B23*100)</f>
        <v>83.785183906061135</v>
      </c>
      <c r="D23" s="15">
        <v>939</v>
      </c>
      <c r="E23" s="14">
        <v>49.839252190000003</v>
      </c>
      <c r="F23" s="16">
        <v>2.4272941600000002</v>
      </c>
      <c r="G23" s="14">
        <v>25.491340279999999</v>
      </c>
      <c r="H23" s="16">
        <v>1.9522249</v>
      </c>
      <c r="I23" s="14">
        <v>24.669407530000001</v>
      </c>
      <c r="J23" s="16">
        <v>1.8410530300000001</v>
      </c>
      <c r="K23" s="14" t="s">
        <v>139</v>
      </c>
      <c r="L23" s="16" t="s">
        <v>139</v>
      </c>
      <c r="M23" s="14">
        <v>0</v>
      </c>
      <c r="N23" s="16">
        <v>0</v>
      </c>
      <c r="O23" s="14">
        <v>0</v>
      </c>
      <c r="P23" s="16">
        <v>0</v>
      </c>
      <c r="Q23" s="14">
        <v>0</v>
      </c>
      <c r="R23" s="16">
        <v>0</v>
      </c>
      <c r="S23" s="14">
        <v>0</v>
      </c>
      <c r="T23" s="16">
        <v>0</v>
      </c>
    </row>
    <row r="24" spans="1:20" x14ac:dyDescent="0.25">
      <c r="A24" s="11" t="s">
        <v>157</v>
      </c>
      <c r="B24" s="13">
        <v>3338</v>
      </c>
      <c r="C24" s="14">
        <f>(2805/B24*100)</f>
        <v>84.032354703415223</v>
      </c>
      <c r="D24" s="15">
        <v>533</v>
      </c>
      <c r="E24" s="14">
        <v>38.092726169999999</v>
      </c>
      <c r="F24" s="16">
        <v>2.1733579000000001</v>
      </c>
      <c r="G24" s="14">
        <v>38.790710169999997</v>
      </c>
      <c r="H24" s="16">
        <v>2.0599123499999998</v>
      </c>
      <c r="I24" s="14">
        <v>23.116563660000001</v>
      </c>
      <c r="J24" s="16">
        <v>1.86959819</v>
      </c>
      <c r="K24" s="14" t="s">
        <v>139</v>
      </c>
      <c r="L24" s="16" t="s">
        <v>139</v>
      </c>
      <c r="M24" s="14">
        <v>0</v>
      </c>
      <c r="N24" s="16">
        <v>0</v>
      </c>
      <c r="O24" s="14">
        <v>0</v>
      </c>
      <c r="P24" s="16">
        <v>0</v>
      </c>
      <c r="Q24" s="14">
        <v>0</v>
      </c>
      <c r="R24" s="16">
        <v>0</v>
      </c>
      <c r="S24" s="14">
        <v>0</v>
      </c>
      <c r="T24" s="16">
        <v>0</v>
      </c>
    </row>
    <row r="25" spans="1:20" x14ac:dyDescent="0.25">
      <c r="A25" s="11" t="s">
        <v>158</v>
      </c>
      <c r="B25" s="13">
        <v>2912</v>
      </c>
      <c r="C25" s="14">
        <f>(2416/B25*100)</f>
        <v>82.967032967032978</v>
      </c>
      <c r="D25" s="15">
        <v>496</v>
      </c>
      <c r="E25" s="14">
        <v>55.329809580000003</v>
      </c>
      <c r="F25" s="16">
        <v>2.6051147000000001</v>
      </c>
      <c r="G25" s="14">
        <v>22.18614475</v>
      </c>
      <c r="H25" s="16">
        <v>1.8367478399999999</v>
      </c>
      <c r="I25" s="14">
        <v>22.48404567</v>
      </c>
      <c r="J25" s="16">
        <v>2.2527783000000001</v>
      </c>
      <c r="K25" s="14" t="s">
        <v>139</v>
      </c>
      <c r="L25" s="16" t="s">
        <v>139</v>
      </c>
      <c r="M25" s="14">
        <v>0</v>
      </c>
      <c r="N25" s="16">
        <v>0</v>
      </c>
      <c r="O25" s="14">
        <v>0</v>
      </c>
      <c r="P25" s="16">
        <v>0</v>
      </c>
      <c r="Q25" s="14">
        <v>0</v>
      </c>
      <c r="R25" s="16">
        <v>0</v>
      </c>
      <c r="S25" s="14">
        <v>0</v>
      </c>
      <c r="T25" s="16">
        <v>0</v>
      </c>
    </row>
    <row r="26" spans="1:20" x14ac:dyDescent="0.25">
      <c r="A26" s="11" t="s">
        <v>159</v>
      </c>
      <c r="B26" s="13">
        <v>2450</v>
      </c>
      <c r="C26" s="14">
        <f>(2061/B26*100)</f>
        <v>84.122448979591837</v>
      </c>
      <c r="D26" s="15">
        <v>389</v>
      </c>
      <c r="E26" s="14">
        <v>56.706578669999999</v>
      </c>
      <c r="F26" s="16">
        <v>2.7813426200000002</v>
      </c>
      <c r="G26" s="14">
        <v>21.134203299999999</v>
      </c>
      <c r="H26" s="16">
        <v>2.2703520099999999</v>
      </c>
      <c r="I26" s="14">
        <v>22.159218039999999</v>
      </c>
      <c r="J26" s="16">
        <v>2.2288206399999999</v>
      </c>
      <c r="K26" s="14" t="s">
        <v>139</v>
      </c>
      <c r="L26" s="16" t="s">
        <v>139</v>
      </c>
      <c r="M26" s="14">
        <v>0</v>
      </c>
      <c r="N26" s="16">
        <v>0</v>
      </c>
      <c r="O26" s="14">
        <v>0</v>
      </c>
      <c r="P26" s="16">
        <v>0</v>
      </c>
      <c r="Q26" s="14">
        <v>0</v>
      </c>
      <c r="R26" s="16">
        <v>0</v>
      </c>
      <c r="S26" s="14">
        <v>0</v>
      </c>
      <c r="T26" s="16">
        <v>0</v>
      </c>
    </row>
    <row r="27" spans="1:20" x14ac:dyDescent="0.25">
      <c r="A27" s="11" t="s">
        <v>160</v>
      </c>
      <c r="B27" s="13">
        <v>2616</v>
      </c>
      <c r="C27" s="14">
        <f>(2231/B27*100)</f>
        <v>85.282874617737008</v>
      </c>
      <c r="D27" s="15">
        <v>385</v>
      </c>
      <c r="E27" s="14">
        <v>50.886225840000002</v>
      </c>
      <c r="F27" s="16">
        <v>2.5035110399999998</v>
      </c>
      <c r="G27" s="14">
        <v>30.046619369999998</v>
      </c>
      <c r="H27" s="16">
        <v>2.62937786</v>
      </c>
      <c r="I27" s="14">
        <v>19.06715479</v>
      </c>
      <c r="J27" s="16">
        <v>1.9248389800000001</v>
      </c>
      <c r="K27" s="14" t="s">
        <v>139</v>
      </c>
      <c r="L27" s="16" t="s">
        <v>139</v>
      </c>
      <c r="M27" s="14">
        <v>0</v>
      </c>
      <c r="N27" s="16">
        <v>0</v>
      </c>
      <c r="O27" s="14">
        <v>0</v>
      </c>
      <c r="P27" s="16">
        <v>0</v>
      </c>
      <c r="Q27" s="14">
        <v>0</v>
      </c>
      <c r="R27" s="16">
        <v>0</v>
      </c>
      <c r="S27" s="14">
        <v>0</v>
      </c>
      <c r="T27" s="16">
        <v>0</v>
      </c>
    </row>
    <row r="28" spans="1:20" x14ac:dyDescent="0.25">
      <c r="A28" s="11" t="s">
        <v>161</v>
      </c>
      <c r="B28" s="13">
        <v>3765</v>
      </c>
      <c r="C28" s="14">
        <f>(3251/B28*100)</f>
        <v>86.347941567065078</v>
      </c>
      <c r="D28" s="15">
        <v>514</v>
      </c>
      <c r="E28" s="14">
        <v>56.192275219999999</v>
      </c>
      <c r="F28" s="16">
        <v>2.3598506800000001</v>
      </c>
      <c r="G28" s="14">
        <v>24.465675520000001</v>
      </c>
      <c r="H28" s="16">
        <v>2.1737430600000001</v>
      </c>
      <c r="I28" s="14">
        <v>19.342049249999999</v>
      </c>
      <c r="J28" s="16">
        <v>1.9949888200000001</v>
      </c>
      <c r="K28" s="14" t="s">
        <v>139</v>
      </c>
      <c r="L28" s="16" t="s">
        <v>139</v>
      </c>
      <c r="M28" s="14">
        <v>0</v>
      </c>
      <c r="N28" s="16">
        <v>0</v>
      </c>
      <c r="O28" s="14">
        <v>0</v>
      </c>
      <c r="P28" s="16">
        <v>0</v>
      </c>
      <c r="Q28" s="14">
        <v>0</v>
      </c>
      <c r="R28" s="16">
        <v>0</v>
      </c>
      <c r="S28" s="14">
        <v>0</v>
      </c>
      <c r="T28" s="16">
        <v>0</v>
      </c>
    </row>
    <row r="29" spans="1:20" x14ac:dyDescent="0.25">
      <c r="A29" s="11" t="s">
        <v>162</v>
      </c>
      <c r="B29" s="13">
        <v>2685</v>
      </c>
      <c r="C29" s="14">
        <f>(2235/B29*100)</f>
        <v>83.240223463687144</v>
      </c>
      <c r="D29" s="15">
        <v>450</v>
      </c>
      <c r="E29" s="14">
        <v>44.139535819999999</v>
      </c>
      <c r="F29" s="16">
        <v>2.4874469000000001</v>
      </c>
      <c r="G29" s="14">
        <v>31.31013209</v>
      </c>
      <c r="H29" s="16">
        <v>2.39174234</v>
      </c>
      <c r="I29" s="14">
        <v>24.55033208</v>
      </c>
      <c r="J29" s="16">
        <v>2.2529391699999999</v>
      </c>
      <c r="K29" s="14" t="s">
        <v>139</v>
      </c>
      <c r="L29" s="16" t="s">
        <v>139</v>
      </c>
      <c r="M29" s="14">
        <v>0</v>
      </c>
      <c r="N29" s="16">
        <v>0</v>
      </c>
      <c r="O29" s="14">
        <v>0</v>
      </c>
      <c r="P29" s="16">
        <v>0</v>
      </c>
      <c r="Q29" s="14">
        <v>0</v>
      </c>
      <c r="R29" s="16">
        <v>0</v>
      </c>
      <c r="S29" s="14">
        <v>0</v>
      </c>
      <c r="T29" s="16">
        <v>0</v>
      </c>
    </row>
    <row r="30" spans="1:20" x14ac:dyDescent="0.25">
      <c r="A30" s="11" t="s">
        <v>163</v>
      </c>
      <c r="B30" s="13">
        <v>2263</v>
      </c>
      <c r="C30" s="14">
        <f>(1926/B30*100)</f>
        <v>85.108263367211663</v>
      </c>
      <c r="D30" s="15">
        <v>337</v>
      </c>
      <c r="E30" s="14">
        <v>46.026769420000001</v>
      </c>
      <c r="F30" s="16">
        <v>2.9747435200000001</v>
      </c>
      <c r="G30" s="14">
        <v>21.8463952</v>
      </c>
      <c r="H30" s="16">
        <v>2.4243751599999999</v>
      </c>
      <c r="I30" s="14">
        <v>32.126835380000003</v>
      </c>
      <c r="J30" s="16">
        <v>2.4907435000000002</v>
      </c>
      <c r="K30" s="14" t="s">
        <v>139</v>
      </c>
      <c r="L30" s="16" t="s">
        <v>139</v>
      </c>
      <c r="M30" s="14">
        <v>0</v>
      </c>
      <c r="N30" s="16">
        <v>0</v>
      </c>
      <c r="O30" s="14">
        <v>0</v>
      </c>
      <c r="P30" s="16">
        <v>0</v>
      </c>
      <c r="Q30" s="14">
        <v>0</v>
      </c>
      <c r="R30" s="16">
        <v>0</v>
      </c>
      <c r="S30" s="14">
        <v>0</v>
      </c>
      <c r="T30" s="16">
        <v>0</v>
      </c>
    </row>
    <row r="31" spans="1:20" x14ac:dyDescent="0.25">
      <c r="A31" s="11" t="s">
        <v>164</v>
      </c>
      <c r="B31" s="13">
        <v>2750</v>
      </c>
      <c r="C31" s="14">
        <f>(2323/B31*100)</f>
        <v>84.472727272727283</v>
      </c>
      <c r="D31" s="15">
        <v>427</v>
      </c>
      <c r="E31" s="14">
        <v>45.231434360000002</v>
      </c>
      <c r="F31" s="16">
        <v>2.3791127400000001</v>
      </c>
      <c r="G31" s="14">
        <v>32.347291800000001</v>
      </c>
      <c r="H31" s="16">
        <v>2.3680612499999998</v>
      </c>
      <c r="I31" s="14">
        <v>22.421273849999999</v>
      </c>
      <c r="J31" s="16">
        <v>2.05082261</v>
      </c>
      <c r="K31" s="14" t="s">
        <v>139</v>
      </c>
      <c r="L31" s="16" t="s">
        <v>139</v>
      </c>
      <c r="M31" s="14">
        <v>0</v>
      </c>
      <c r="N31" s="16">
        <v>0</v>
      </c>
      <c r="O31" s="14">
        <v>0</v>
      </c>
      <c r="P31" s="16">
        <v>0</v>
      </c>
      <c r="Q31" s="14">
        <v>0</v>
      </c>
      <c r="R31" s="16">
        <v>0</v>
      </c>
      <c r="S31" s="14">
        <v>0</v>
      </c>
      <c r="T31" s="16">
        <v>0</v>
      </c>
    </row>
    <row r="32" spans="1:20" x14ac:dyDescent="0.25">
      <c r="A32" s="11" t="s">
        <v>165</v>
      </c>
      <c r="B32" s="17" t="s">
        <v>154</v>
      </c>
      <c r="C32" s="17" t="s">
        <v>154</v>
      </c>
      <c r="D32" s="18" t="s">
        <v>154</v>
      </c>
      <c r="E32" s="17" t="s">
        <v>154</v>
      </c>
      <c r="F32" s="18" t="s">
        <v>154</v>
      </c>
      <c r="G32" s="17" t="s">
        <v>154</v>
      </c>
      <c r="H32" s="18" t="s">
        <v>154</v>
      </c>
      <c r="I32" s="17" t="s">
        <v>154</v>
      </c>
      <c r="J32" s="18" t="s">
        <v>154</v>
      </c>
      <c r="K32" s="17" t="s">
        <v>154</v>
      </c>
      <c r="L32" s="18" t="s">
        <v>154</v>
      </c>
      <c r="M32" s="17" t="s">
        <v>154</v>
      </c>
      <c r="N32" s="18" t="s">
        <v>154</v>
      </c>
      <c r="O32" s="17" t="s">
        <v>154</v>
      </c>
      <c r="P32" s="18" t="s">
        <v>154</v>
      </c>
      <c r="Q32" s="17" t="s">
        <v>154</v>
      </c>
      <c r="R32" s="18" t="s">
        <v>154</v>
      </c>
      <c r="S32" s="17" t="s">
        <v>154</v>
      </c>
      <c r="T32" s="18" t="s">
        <v>154</v>
      </c>
    </row>
    <row r="33" spans="1:20" x14ac:dyDescent="0.25">
      <c r="A33" s="11" t="s">
        <v>166</v>
      </c>
      <c r="B33" s="13">
        <v>3674</v>
      </c>
      <c r="C33" s="14">
        <f>(3131/B33*100)</f>
        <v>85.220468154599899</v>
      </c>
      <c r="D33" s="15">
        <v>543</v>
      </c>
      <c r="E33" s="14">
        <v>46.128376979999999</v>
      </c>
      <c r="F33" s="16">
        <v>2.1887950799999998</v>
      </c>
      <c r="G33" s="14">
        <v>23.45379097</v>
      </c>
      <c r="H33" s="16">
        <v>2.1243482199999999</v>
      </c>
      <c r="I33" s="14">
        <v>30.417832050000001</v>
      </c>
      <c r="J33" s="16">
        <v>2.6182184300000002</v>
      </c>
      <c r="K33" s="14" t="s">
        <v>139</v>
      </c>
      <c r="L33" s="16" t="s">
        <v>139</v>
      </c>
      <c r="M33" s="14">
        <v>0</v>
      </c>
      <c r="N33" s="16">
        <v>0</v>
      </c>
      <c r="O33" s="14">
        <v>0</v>
      </c>
      <c r="P33" s="16">
        <v>0</v>
      </c>
      <c r="Q33" s="14">
        <v>0</v>
      </c>
      <c r="R33" s="16">
        <v>0</v>
      </c>
      <c r="S33" s="14">
        <v>0</v>
      </c>
      <c r="T33" s="16">
        <v>0</v>
      </c>
    </row>
    <row r="34" spans="1:20" x14ac:dyDescent="0.25">
      <c r="A34" s="11" t="s">
        <v>167</v>
      </c>
      <c r="B34" s="13">
        <v>3315</v>
      </c>
      <c r="C34" s="14">
        <f>(2826/B34*100)</f>
        <v>85.248868778280539</v>
      </c>
      <c r="D34" s="15">
        <v>489</v>
      </c>
      <c r="E34" s="14">
        <v>53.50824806</v>
      </c>
      <c r="F34" s="16">
        <v>2.2173295999999998</v>
      </c>
      <c r="G34" s="14">
        <v>23.926377890000001</v>
      </c>
      <c r="H34" s="16">
        <v>1.96299464</v>
      </c>
      <c r="I34" s="14">
        <v>22.56537406</v>
      </c>
      <c r="J34" s="16">
        <v>1.8374660199999999</v>
      </c>
      <c r="K34" s="14" t="s">
        <v>139</v>
      </c>
      <c r="L34" s="16" t="s">
        <v>139</v>
      </c>
      <c r="M34" s="14">
        <v>0</v>
      </c>
      <c r="N34" s="16">
        <v>0</v>
      </c>
      <c r="O34" s="14">
        <v>0</v>
      </c>
      <c r="P34" s="16">
        <v>0</v>
      </c>
      <c r="Q34" s="14">
        <v>0</v>
      </c>
      <c r="R34" s="16">
        <v>0</v>
      </c>
      <c r="S34" s="14">
        <v>0</v>
      </c>
      <c r="T34" s="16">
        <v>0</v>
      </c>
    </row>
    <row r="35" spans="1:20" x14ac:dyDescent="0.25">
      <c r="A35" s="11" t="s">
        <v>168</v>
      </c>
      <c r="B35" s="13">
        <v>3505</v>
      </c>
      <c r="C35" s="14">
        <f>(2952/B35*100)</f>
        <v>84.222539229671895</v>
      </c>
      <c r="D35" s="15">
        <v>553</v>
      </c>
      <c r="E35" s="14">
        <v>45.075370849999999</v>
      </c>
      <c r="F35" s="16">
        <v>2.4350886799999998</v>
      </c>
      <c r="G35" s="14">
        <v>25.27978207</v>
      </c>
      <c r="H35" s="16">
        <v>2.1510115600000002</v>
      </c>
      <c r="I35" s="14">
        <v>29.644847080000002</v>
      </c>
      <c r="J35" s="16">
        <v>2.3509617899999999</v>
      </c>
      <c r="K35" s="14" t="s">
        <v>139</v>
      </c>
      <c r="L35" s="16" t="s">
        <v>139</v>
      </c>
      <c r="M35" s="14">
        <v>0</v>
      </c>
      <c r="N35" s="16">
        <v>0</v>
      </c>
      <c r="O35" s="14">
        <v>0</v>
      </c>
      <c r="P35" s="16">
        <v>0</v>
      </c>
      <c r="Q35" s="14">
        <v>0</v>
      </c>
      <c r="R35" s="16">
        <v>0</v>
      </c>
      <c r="S35" s="14">
        <v>0</v>
      </c>
      <c r="T35" s="16">
        <v>0</v>
      </c>
    </row>
    <row r="36" spans="1:20" x14ac:dyDescent="0.25">
      <c r="A36" s="11" t="s">
        <v>169</v>
      </c>
      <c r="B36" s="13">
        <v>3332</v>
      </c>
      <c r="C36" s="14">
        <f>(2817/B36*100)</f>
        <v>84.543817527010802</v>
      </c>
      <c r="D36" s="15">
        <v>515</v>
      </c>
      <c r="E36" s="14">
        <v>39.326086969999999</v>
      </c>
      <c r="F36" s="16">
        <v>2.3405600500000001</v>
      </c>
      <c r="G36" s="14">
        <v>31.969555750000001</v>
      </c>
      <c r="H36" s="16">
        <v>2.2918002500000001</v>
      </c>
      <c r="I36" s="14">
        <v>28.704357269999999</v>
      </c>
      <c r="J36" s="16">
        <v>1.7717092699999999</v>
      </c>
      <c r="K36" s="14" t="s">
        <v>139</v>
      </c>
      <c r="L36" s="16" t="s">
        <v>139</v>
      </c>
      <c r="M36" s="14">
        <v>0</v>
      </c>
      <c r="N36" s="16">
        <v>0</v>
      </c>
      <c r="O36" s="14">
        <v>0</v>
      </c>
      <c r="P36" s="16">
        <v>0</v>
      </c>
      <c r="Q36" s="14">
        <v>0</v>
      </c>
      <c r="R36" s="16">
        <v>0</v>
      </c>
      <c r="S36" s="14">
        <v>0</v>
      </c>
      <c r="T36" s="16">
        <v>0</v>
      </c>
    </row>
    <row r="37" spans="1:20" x14ac:dyDescent="0.25">
      <c r="A37" s="11" t="s">
        <v>170</v>
      </c>
      <c r="B37" s="13">
        <v>2727</v>
      </c>
      <c r="C37" s="14">
        <f>(2333/B37*100)</f>
        <v>85.55188852218555</v>
      </c>
      <c r="D37" s="15">
        <v>394</v>
      </c>
      <c r="E37" s="14">
        <v>44.653175019999999</v>
      </c>
      <c r="F37" s="16">
        <v>2.44005239</v>
      </c>
      <c r="G37" s="14">
        <v>30.270477759999999</v>
      </c>
      <c r="H37" s="16">
        <v>2.22586854</v>
      </c>
      <c r="I37" s="14">
        <v>25.07634723</v>
      </c>
      <c r="J37" s="16">
        <v>2.20684586</v>
      </c>
      <c r="K37" s="14" t="s">
        <v>139</v>
      </c>
      <c r="L37" s="16" t="s">
        <v>139</v>
      </c>
      <c r="M37" s="14">
        <v>0</v>
      </c>
      <c r="N37" s="16">
        <v>0</v>
      </c>
      <c r="O37" s="14">
        <v>0</v>
      </c>
      <c r="P37" s="16">
        <v>0</v>
      </c>
      <c r="Q37" s="14">
        <v>0</v>
      </c>
      <c r="R37" s="16">
        <v>0</v>
      </c>
      <c r="S37" s="14">
        <v>0</v>
      </c>
      <c r="T37" s="16">
        <v>0</v>
      </c>
    </row>
    <row r="38" spans="1:20" x14ac:dyDescent="0.25">
      <c r="A38" s="11" t="s">
        <v>171</v>
      </c>
      <c r="B38" s="17" t="s">
        <v>154</v>
      </c>
      <c r="C38" s="17" t="s">
        <v>154</v>
      </c>
      <c r="D38" s="18" t="s">
        <v>154</v>
      </c>
      <c r="E38" s="17" t="s">
        <v>154</v>
      </c>
      <c r="F38" s="18" t="s">
        <v>154</v>
      </c>
      <c r="G38" s="17" t="s">
        <v>154</v>
      </c>
      <c r="H38" s="18" t="s">
        <v>154</v>
      </c>
      <c r="I38" s="17" t="s">
        <v>154</v>
      </c>
      <c r="J38" s="18" t="s">
        <v>154</v>
      </c>
      <c r="K38" s="17" t="s">
        <v>154</v>
      </c>
      <c r="L38" s="18" t="s">
        <v>154</v>
      </c>
      <c r="M38" s="17" t="s">
        <v>154</v>
      </c>
      <c r="N38" s="18" t="s">
        <v>154</v>
      </c>
      <c r="O38" s="17" t="s">
        <v>154</v>
      </c>
      <c r="P38" s="18" t="s">
        <v>154</v>
      </c>
      <c r="Q38" s="17" t="s">
        <v>154</v>
      </c>
      <c r="R38" s="18" t="s">
        <v>154</v>
      </c>
      <c r="S38" s="17" t="s">
        <v>154</v>
      </c>
      <c r="T38" s="18" t="s">
        <v>154</v>
      </c>
    </row>
    <row r="39" spans="1:20" x14ac:dyDescent="0.25">
      <c r="A39" s="11" t="s">
        <v>172</v>
      </c>
      <c r="B39" s="13">
        <v>2957</v>
      </c>
      <c r="C39" s="14">
        <f>(2451/B39*100)</f>
        <v>82.888062225228282</v>
      </c>
      <c r="D39" s="15">
        <v>506</v>
      </c>
      <c r="E39" s="14">
        <v>65.074378409999994</v>
      </c>
      <c r="F39" s="16">
        <v>2.4852032300000002</v>
      </c>
      <c r="G39" s="14">
        <v>21.562863620000002</v>
      </c>
      <c r="H39" s="16">
        <v>1.98228702</v>
      </c>
      <c r="I39" s="14">
        <v>13.362757970000001</v>
      </c>
      <c r="J39" s="16">
        <v>1.67087553</v>
      </c>
      <c r="K39" s="14" t="s">
        <v>139</v>
      </c>
      <c r="L39" s="16" t="s">
        <v>139</v>
      </c>
      <c r="M39" s="14">
        <v>0</v>
      </c>
      <c r="N39" s="16">
        <v>0</v>
      </c>
      <c r="O39" s="14">
        <v>0</v>
      </c>
      <c r="P39" s="16">
        <v>0</v>
      </c>
      <c r="Q39" s="14">
        <v>0</v>
      </c>
      <c r="R39" s="16">
        <v>0</v>
      </c>
      <c r="S39" s="14">
        <v>0</v>
      </c>
      <c r="T39" s="16">
        <v>0</v>
      </c>
    </row>
    <row r="40" spans="1:20" x14ac:dyDescent="0.25">
      <c r="A40" s="11" t="s">
        <v>173</v>
      </c>
      <c r="B40" s="13">
        <v>7235</v>
      </c>
      <c r="C40" s="14">
        <f>(6063/B40*100)</f>
        <v>83.800967519004843</v>
      </c>
      <c r="D40" s="15">
        <v>1172</v>
      </c>
      <c r="E40" s="14">
        <v>50.480014769999997</v>
      </c>
      <c r="F40" s="16">
        <v>2.1609852699999998</v>
      </c>
      <c r="G40" s="14">
        <v>22.005790449999999</v>
      </c>
      <c r="H40" s="16">
        <v>1.9092646</v>
      </c>
      <c r="I40" s="14">
        <v>27.51419478</v>
      </c>
      <c r="J40" s="16">
        <v>1.8457229100000001</v>
      </c>
      <c r="K40" s="14" t="s">
        <v>139</v>
      </c>
      <c r="L40" s="16" t="s">
        <v>139</v>
      </c>
      <c r="M40" s="14">
        <v>0</v>
      </c>
      <c r="N40" s="16">
        <v>0</v>
      </c>
      <c r="O40" s="14">
        <v>0</v>
      </c>
      <c r="P40" s="16">
        <v>0</v>
      </c>
      <c r="Q40" s="14">
        <v>0</v>
      </c>
      <c r="R40" s="16">
        <v>0</v>
      </c>
      <c r="S40" s="14">
        <v>0</v>
      </c>
      <c r="T40" s="16">
        <v>0</v>
      </c>
    </row>
    <row r="41" spans="1:20" x14ac:dyDescent="0.25">
      <c r="A41" s="11" t="s">
        <v>174</v>
      </c>
      <c r="B41" s="13">
        <v>2858</v>
      </c>
      <c r="C41" s="14">
        <f>(2417/B41*100)</f>
        <v>84.569629111266622</v>
      </c>
      <c r="D41" s="15">
        <v>441</v>
      </c>
      <c r="E41" s="14">
        <v>42.519891790000003</v>
      </c>
      <c r="F41" s="16">
        <v>2.7533662099999998</v>
      </c>
      <c r="G41" s="14">
        <v>22.407618289999998</v>
      </c>
      <c r="H41" s="16">
        <v>1.8248628</v>
      </c>
      <c r="I41" s="14">
        <v>35.072489920000002</v>
      </c>
      <c r="J41" s="16">
        <v>2.6153438800000002</v>
      </c>
      <c r="K41" s="14" t="s">
        <v>139</v>
      </c>
      <c r="L41" s="16" t="s">
        <v>139</v>
      </c>
      <c r="M41" s="14">
        <v>0</v>
      </c>
      <c r="N41" s="16">
        <v>0</v>
      </c>
      <c r="O41" s="14">
        <v>0</v>
      </c>
      <c r="P41" s="16">
        <v>0</v>
      </c>
      <c r="Q41" s="14">
        <v>0</v>
      </c>
      <c r="R41" s="16">
        <v>0</v>
      </c>
      <c r="S41" s="14">
        <v>0</v>
      </c>
      <c r="T41" s="16">
        <v>0</v>
      </c>
    </row>
    <row r="42" spans="1:20" x14ac:dyDescent="0.25">
      <c r="A42" s="11" t="s">
        <v>175</v>
      </c>
      <c r="B42" s="13">
        <f>IF(COUNT(B7:B41) &gt; 0, AVERAGE(B7:B41), "\u2014")</f>
        <v>3654.375</v>
      </c>
      <c r="C42" s="14">
        <f>IF(COUNT(C7:C41) &gt; 0, AVERAGE(C7:C41), "—")</f>
        <v>84.530326474626506</v>
      </c>
      <c r="D42" s="15">
        <f>IF(COUNT(D7:D41) &gt; 0, AVERAGE(D7:D41), "—")</f>
        <v>566.5</v>
      </c>
      <c r="E42" s="14">
        <f>IF(COUNT(E7:E41) &gt; 0, AVERAGE(E7:E41), "—")</f>
        <v>48.633631929999993</v>
      </c>
      <c r="F42" s="16">
        <f>IF(COUNT(F7:F41) &gt; 0, SQRT(SUMSQ(F7:F41)/(COUNT(F7:F41)*COUNT(F7:F41)) ), "—")</f>
        <v>0.42529825338043098</v>
      </c>
      <c r="G42" s="14">
        <f>IF(COUNT(G7:G41) &gt; 0, AVERAGE(G7:G41), "—")</f>
        <v>25.973356833437496</v>
      </c>
      <c r="H42" s="16">
        <f>IF(COUNT(H7:H41) &gt; 0, SQRT(SUMSQ(H7:H41)/(COUNT(H7:H41)*COUNT(H7:H41)) ), "—")</f>
        <v>0.36994750700163459</v>
      </c>
      <c r="I42" s="14">
        <f>IF(COUNT(I7:I41) &gt; 0, AVERAGE(I7:I41), "—")</f>
        <v>25.393011236249993</v>
      </c>
      <c r="J42" s="16">
        <f>IF(COUNT(J7:J41) &gt; 0, SQRT(SUMSQ(J7:J41)/(COUNT(J7:J41)*COUNT(J7:J41)) ), "—")</f>
        <v>0.37677009083232987</v>
      </c>
      <c r="K42" s="14" t="str">
        <f>IF(COUNT(K7:K41) &gt; 0, AVERAGE(K7:K41), "—")</f>
        <v>—</v>
      </c>
      <c r="L42" s="16" t="str">
        <f>IF(COUNT(L7:L41) &gt; 0, SQRT(SUMSQ(L7:L41)/(COUNT(L7:L41)*COUNT(L7:L41)) ), "—")</f>
        <v>—</v>
      </c>
      <c r="M42" s="14">
        <f>IF(COUNT(M7:M41) &gt; 0, AVERAGE(M7:M41), "—")</f>
        <v>0</v>
      </c>
      <c r="N42" s="16">
        <f>IF(COUNT(N7:N41) &gt; 0, SQRT(SUMSQ(N7:N41)/(COUNT(N7:N41)*COUNT(N7:N41)) ), "—")</f>
        <v>0</v>
      </c>
      <c r="O42" s="14">
        <f>IF(COUNT(O7:O41) &gt; 0, AVERAGE(O7:O41), "—")</f>
        <v>0</v>
      </c>
      <c r="P42" s="16">
        <f>IF(COUNT(P7:P41) &gt; 0, SQRT(SUMSQ(P7:P41)/(COUNT(P7:P41)*COUNT(P7:P41)) ), "—")</f>
        <v>0</v>
      </c>
      <c r="Q42" s="14">
        <f>IF(COUNT(Q7:Q41) &gt; 0, AVERAGE(Q7:Q41), "—")</f>
        <v>0</v>
      </c>
      <c r="R42" s="16">
        <f>IF(COUNT(R7:R41) &gt; 0, SQRT(SUMSQ(R7:R41)/(COUNT(R7:R41)*COUNT(R7:R41)) ), "—")</f>
        <v>0</v>
      </c>
      <c r="S42" s="14">
        <f>IF(COUNT(S7:S41) &gt; 0, AVERAGE(S7:S41), "—")</f>
        <v>0</v>
      </c>
      <c r="T42" s="16">
        <f>IF(COUNT(T7:T41) &gt; 0, SQRT(SUMSQ(T7:T41)/(COUNT(T7:T41)*COUNT(T7:T41)) ), "—")</f>
        <v>0</v>
      </c>
    </row>
    <row r="43" spans="1:20" x14ac:dyDescent="0.25">
      <c r="A43" s="9" t="s">
        <v>176</v>
      </c>
      <c r="B43" s="10"/>
      <c r="C43" s="10"/>
      <c r="D43" s="11"/>
      <c r="E43" s="10"/>
      <c r="F43" s="11"/>
      <c r="G43" s="10"/>
      <c r="H43" s="11"/>
      <c r="I43" s="10"/>
      <c r="J43" s="11"/>
      <c r="K43" s="10"/>
      <c r="L43" s="11"/>
      <c r="M43" s="10"/>
      <c r="N43" s="11"/>
      <c r="O43" s="10"/>
      <c r="P43" s="11"/>
      <c r="Q43" s="10"/>
      <c r="R43" s="11"/>
      <c r="S43" s="10"/>
      <c r="T43" s="12"/>
    </row>
    <row r="44" spans="1:20" x14ac:dyDescent="0.25">
      <c r="A44" s="11" t="s">
        <v>177</v>
      </c>
      <c r="B44" s="17" t="s">
        <v>154</v>
      </c>
      <c r="C44" s="17" t="s">
        <v>154</v>
      </c>
      <c r="D44" s="18" t="s">
        <v>154</v>
      </c>
      <c r="E44" s="17" t="s">
        <v>154</v>
      </c>
      <c r="F44" s="18" t="s">
        <v>154</v>
      </c>
      <c r="G44" s="17" t="s">
        <v>154</v>
      </c>
      <c r="H44" s="18" t="s">
        <v>154</v>
      </c>
      <c r="I44" s="17" t="s">
        <v>154</v>
      </c>
      <c r="J44" s="18" t="s">
        <v>154</v>
      </c>
      <c r="K44" s="17" t="s">
        <v>154</v>
      </c>
      <c r="L44" s="18" t="s">
        <v>154</v>
      </c>
      <c r="M44" s="17" t="s">
        <v>154</v>
      </c>
      <c r="N44" s="18" t="s">
        <v>154</v>
      </c>
      <c r="O44" s="17" t="s">
        <v>154</v>
      </c>
      <c r="P44" s="18" t="s">
        <v>154</v>
      </c>
      <c r="Q44" s="17" t="s">
        <v>154</v>
      </c>
      <c r="R44" s="18" t="s">
        <v>154</v>
      </c>
      <c r="S44" s="17" t="s">
        <v>154</v>
      </c>
      <c r="T44" s="18" t="s">
        <v>154</v>
      </c>
    </row>
    <row r="45" spans="1:20" x14ac:dyDescent="0.25">
      <c r="A45" s="11" t="s">
        <v>178</v>
      </c>
      <c r="B45" s="17" t="s">
        <v>154</v>
      </c>
      <c r="C45" s="17" t="s">
        <v>154</v>
      </c>
      <c r="D45" s="18" t="s">
        <v>154</v>
      </c>
      <c r="E45" s="17" t="s">
        <v>154</v>
      </c>
      <c r="F45" s="18" t="s">
        <v>154</v>
      </c>
      <c r="G45" s="17" t="s">
        <v>154</v>
      </c>
      <c r="H45" s="18" t="s">
        <v>154</v>
      </c>
      <c r="I45" s="17" t="s">
        <v>154</v>
      </c>
      <c r="J45" s="18" t="s">
        <v>154</v>
      </c>
      <c r="K45" s="17" t="s">
        <v>154</v>
      </c>
      <c r="L45" s="18" t="s">
        <v>154</v>
      </c>
      <c r="M45" s="17" t="s">
        <v>154</v>
      </c>
      <c r="N45" s="18" t="s">
        <v>154</v>
      </c>
      <c r="O45" s="17" t="s">
        <v>154</v>
      </c>
      <c r="P45" s="18" t="s">
        <v>154</v>
      </c>
      <c r="Q45" s="17" t="s">
        <v>154</v>
      </c>
      <c r="R45" s="18" t="s">
        <v>154</v>
      </c>
      <c r="S45" s="17" t="s">
        <v>154</v>
      </c>
      <c r="T45" s="18" t="s">
        <v>154</v>
      </c>
    </row>
    <row r="46" spans="1:20" x14ac:dyDescent="0.25">
      <c r="A46" s="11" t="s">
        <v>179</v>
      </c>
      <c r="B46" s="13">
        <v>11068</v>
      </c>
      <c r="C46" s="14">
        <f>(9947/B46*100)</f>
        <v>89.871702204553671</v>
      </c>
      <c r="D46" s="15">
        <v>1121</v>
      </c>
      <c r="E46" s="14">
        <v>61.235437310000002</v>
      </c>
      <c r="F46" s="16">
        <v>1.98052732</v>
      </c>
      <c r="G46" s="14">
        <v>24.49262083</v>
      </c>
      <c r="H46" s="16">
        <v>1.8497696800000001</v>
      </c>
      <c r="I46" s="14">
        <v>14.27194186</v>
      </c>
      <c r="J46" s="16">
        <v>1.3454695699999999</v>
      </c>
      <c r="K46" s="14" t="s">
        <v>139</v>
      </c>
      <c r="L46" s="16" t="s">
        <v>139</v>
      </c>
      <c r="M46" s="14">
        <v>0</v>
      </c>
      <c r="N46" s="16">
        <v>0</v>
      </c>
      <c r="O46" s="14">
        <v>0</v>
      </c>
      <c r="P46" s="16">
        <v>0</v>
      </c>
      <c r="Q46" s="14">
        <v>0</v>
      </c>
      <c r="R46" s="16">
        <v>0</v>
      </c>
      <c r="S46" s="14">
        <v>0</v>
      </c>
      <c r="T46" s="16">
        <v>0</v>
      </c>
    </row>
    <row r="47" spans="1:20" x14ac:dyDescent="0.25">
      <c r="A47" s="11" t="s">
        <v>180</v>
      </c>
      <c r="B47" s="13">
        <v>3105</v>
      </c>
      <c r="C47" s="14">
        <f>(2650/B47*100)</f>
        <v>85.346215780998392</v>
      </c>
      <c r="D47" s="15">
        <v>455</v>
      </c>
      <c r="E47" s="14">
        <v>49.112730800000001</v>
      </c>
      <c r="F47" s="16">
        <v>2.7195912099999999</v>
      </c>
      <c r="G47" s="14">
        <v>32.16886375</v>
      </c>
      <c r="H47" s="16">
        <v>2.2643361299999998</v>
      </c>
      <c r="I47" s="14">
        <v>18.718405449999999</v>
      </c>
      <c r="J47" s="16">
        <v>2.1026779499999999</v>
      </c>
      <c r="K47" s="14" t="s">
        <v>139</v>
      </c>
      <c r="L47" s="16" t="s">
        <v>139</v>
      </c>
      <c r="M47" s="14">
        <v>0</v>
      </c>
      <c r="N47" s="16">
        <v>0</v>
      </c>
      <c r="O47" s="14">
        <v>0</v>
      </c>
      <c r="P47" s="16">
        <v>0</v>
      </c>
      <c r="Q47" s="14">
        <v>0</v>
      </c>
      <c r="R47" s="16">
        <v>0</v>
      </c>
      <c r="S47" s="14">
        <v>0</v>
      </c>
      <c r="T47" s="16">
        <v>0</v>
      </c>
    </row>
    <row r="48" spans="1:20" x14ac:dyDescent="0.25">
      <c r="A48" s="11" t="s">
        <v>181</v>
      </c>
      <c r="B48" s="13">
        <v>5159</v>
      </c>
      <c r="C48" s="14">
        <f>(4311/B48*100)</f>
        <v>83.562705950765647</v>
      </c>
      <c r="D48" s="15">
        <v>848</v>
      </c>
      <c r="E48" s="14">
        <v>51.850038820000002</v>
      </c>
      <c r="F48" s="16">
        <v>2.3231635800000001</v>
      </c>
      <c r="G48" s="14">
        <v>19.83062396</v>
      </c>
      <c r="H48" s="16">
        <v>1.64065668</v>
      </c>
      <c r="I48" s="14">
        <v>28.319337220000001</v>
      </c>
      <c r="J48" s="16">
        <v>1.94602991</v>
      </c>
      <c r="K48" s="14" t="s">
        <v>139</v>
      </c>
      <c r="L48" s="16" t="s">
        <v>139</v>
      </c>
      <c r="M48" s="14">
        <v>0</v>
      </c>
      <c r="N48" s="16">
        <v>0</v>
      </c>
      <c r="O48" s="14">
        <v>0</v>
      </c>
      <c r="P48" s="16">
        <v>0</v>
      </c>
      <c r="Q48" s="14">
        <v>0</v>
      </c>
      <c r="R48" s="16">
        <v>0</v>
      </c>
      <c r="S48" s="14">
        <v>0</v>
      </c>
      <c r="T48" s="16">
        <v>0</v>
      </c>
    </row>
    <row r="49" spans="1:20" x14ac:dyDescent="0.25">
      <c r="A49" s="11" t="s">
        <v>182</v>
      </c>
      <c r="B49" s="17" t="s">
        <v>154</v>
      </c>
      <c r="C49" s="17" t="s">
        <v>154</v>
      </c>
      <c r="D49" s="18" t="s">
        <v>154</v>
      </c>
      <c r="E49" s="17" t="s">
        <v>154</v>
      </c>
      <c r="F49" s="18" t="s">
        <v>154</v>
      </c>
      <c r="G49" s="17" t="s">
        <v>154</v>
      </c>
      <c r="H49" s="18" t="s">
        <v>154</v>
      </c>
      <c r="I49" s="17" t="s">
        <v>154</v>
      </c>
      <c r="J49" s="18" t="s">
        <v>154</v>
      </c>
      <c r="K49" s="17" t="s">
        <v>154</v>
      </c>
      <c r="L49" s="18" t="s">
        <v>154</v>
      </c>
      <c r="M49" s="17" t="s">
        <v>154</v>
      </c>
      <c r="N49" s="18" t="s">
        <v>154</v>
      </c>
      <c r="O49" s="17" t="s">
        <v>154</v>
      </c>
      <c r="P49" s="18" t="s">
        <v>154</v>
      </c>
      <c r="Q49" s="17" t="s">
        <v>154</v>
      </c>
      <c r="R49" s="18" t="s">
        <v>154</v>
      </c>
      <c r="S49" s="17" t="s">
        <v>154</v>
      </c>
      <c r="T49" s="18" t="s">
        <v>154</v>
      </c>
    </row>
    <row r="50" spans="1:20" x14ac:dyDescent="0.25">
      <c r="A50" s="11" t="s">
        <v>183</v>
      </c>
      <c r="B50" s="13">
        <v>5637</v>
      </c>
      <c r="C50" s="14">
        <f>(4810/B50*100)</f>
        <v>85.329075749512157</v>
      </c>
      <c r="D50" s="15">
        <v>827</v>
      </c>
      <c r="E50" s="14">
        <v>54.498875140000003</v>
      </c>
      <c r="F50" s="16">
        <v>2.2286872999999998</v>
      </c>
      <c r="G50" s="14">
        <v>28.230805740000001</v>
      </c>
      <c r="H50" s="16">
        <v>2.36657859</v>
      </c>
      <c r="I50" s="14">
        <v>17.27031912</v>
      </c>
      <c r="J50" s="16">
        <v>1.70624916</v>
      </c>
      <c r="K50" s="14" t="s">
        <v>139</v>
      </c>
      <c r="L50" s="16" t="s">
        <v>139</v>
      </c>
      <c r="M50" s="14">
        <v>0</v>
      </c>
      <c r="N50" s="16">
        <v>0</v>
      </c>
      <c r="O50" s="14">
        <v>0</v>
      </c>
      <c r="P50" s="16">
        <v>0</v>
      </c>
      <c r="Q50" s="14">
        <v>0</v>
      </c>
      <c r="R50" s="16">
        <v>0</v>
      </c>
      <c r="S50" s="14">
        <v>0</v>
      </c>
      <c r="T50" s="16">
        <v>0</v>
      </c>
    </row>
    <row r="51" spans="1:20" x14ac:dyDescent="0.25">
      <c r="A51" s="11" t="s">
        <v>184</v>
      </c>
      <c r="B51" s="13">
        <v>3372</v>
      </c>
      <c r="C51" s="14">
        <f>(2926/B51*100)</f>
        <v>86.773428232502965</v>
      </c>
      <c r="D51" s="15">
        <v>446</v>
      </c>
      <c r="E51" s="14">
        <v>50.336301880000001</v>
      </c>
      <c r="F51" s="16">
        <v>2.4223128300000001</v>
      </c>
      <c r="G51" s="14">
        <v>31.06545637</v>
      </c>
      <c r="H51" s="16">
        <v>2.3294568299999998</v>
      </c>
      <c r="I51" s="14">
        <v>18.59824175</v>
      </c>
      <c r="J51" s="16">
        <v>1.9394605899999999</v>
      </c>
      <c r="K51" s="14" t="s">
        <v>139</v>
      </c>
      <c r="L51" s="16" t="s">
        <v>139</v>
      </c>
      <c r="M51" s="14">
        <v>0</v>
      </c>
      <c r="N51" s="16">
        <v>0</v>
      </c>
      <c r="O51" s="14">
        <v>0</v>
      </c>
      <c r="P51" s="16">
        <v>0</v>
      </c>
      <c r="Q51" s="14">
        <v>0</v>
      </c>
      <c r="R51" s="16">
        <v>0</v>
      </c>
      <c r="S51" s="14">
        <v>0</v>
      </c>
      <c r="T51" s="16">
        <v>0</v>
      </c>
    </row>
    <row r="52" spans="1:20" x14ac:dyDescent="0.25">
      <c r="A52" s="11" t="s">
        <v>185</v>
      </c>
      <c r="B52" s="13">
        <v>2796</v>
      </c>
      <c r="C52" s="14">
        <f>(2370/B52*100)</f>
        <v>84.763948497854074</v>
      </c>
      <c r="D52" s="15">
        <v>426</v>
      </c>
      <c r="E52" s="14">
        <v>50.8844116</v>
      </c>
      <c r="F52" s="16">
        <v>2.5119695599999998</v>
      </c>
      <c r="G52" s="14">
        <v>18.293680389999999</v>
      </c>
      <c r="H52" s="16">
        <v>1.7481378400000001</v>
      </c>
      <c r="I52" s="14">
        <v>30.821908010000001</v>
      </c>
      <c r="J52" s="16">
        <v>2.34893588</v>
      </c>
      <c r="K52" s="14" t="s">
        <v>139</v>
      </c>
      <c r="L52" s="16" t="s">
        <v>139</v>
      </c>
      <c r="M52" s="14">
        <v>0</v>
      </c>
      <c r="N52" s="16">
        <v>0</v>
      </c>
      <c r="O52" s="14">
        <v>0</v>
      </c>
      <c r="P52" s="16">
        <v>0</v>
      </c>
      <c r="Q52" s="14">
        <v>0</v>
      </c>
      <c r="R52" s="16">
        <v>0</v>
      </c>
      <c r="S52" s="14">
        <v>0</v>
      </c>
      <c r="T52" s="16">
        <v>0</v>
      </c>
    </row>
    <row r="53" spans="1:20" x14ac:dyDescent="0.25">
      <c r="A53" s="11" t="s">
        <v>186</v>
      </c>
      <c r="B53" s="13">
        <v>2811</v>
      </c>
      <c r="C53" s="14">
        <f>(2373/B53*100)</f>
        <v>84.418356456776948</v>
      </c>
      <c r="D53" s="15">
        <v>438</v>
      </c>
      <c r="E53" s="14">
        <v>62.002959679999996</v>
      </c>
      <c r="F53" s="16">
        <v>2.1777721699999999</v>
      </c>
      <c r="G53" s="14">
        <v>23.85905245</v>
      </c>
      <c r="H53" s="16">
        <v>1.8894233199999999</v>
      </c>
      <c r="I53" s="14">
        <v>14.13798787</v>
      </c>
      <c r="J53" s="16">
        <v>1.7104429999999999</v>
      </c>
      <c r="K53" s="14" t="s">
        <v>139</v>
      </c>
      <c r="L53" s="16" t="s">
        <v>139</v>
      </c>
      <c r="M53" s="14">
        <v>0</v>
      </c>
      <c r="N53" s="16">
        <v>0</v>
      </c>
      <c r="O53" s="14">
        <v>0</v>
      </c>
      <c r="P53" s="16">
        <v>0</v>
      </c>
      <c r="Q53" s="14">
        <v>0</v>
      </c>
      <c r="R53" s="16">
        <v>0</v>
      </c>
      <c r="S53" s="14">
        <v>0</v>
      </c>
      <c r="T53" s="16">
        <v>0</v>
      </c>
    </row>
    <row r="54" spans="1:20" x14ac:dyDescent="0.25">
      <c r="A54" s="11" t="s">
        <v>187</v>
      </c>
      <c r="B54" s="17" t="s">
        <v>154</v>
      </c>
      <c r="C54" s="17" t="s">
        <v>154</v>
      </c>
      <c r="D54" s="18" t="s">
        <v>154</v>
      </c>
      <c r="E54" s="17" t="s">
        <v>154</v>
      </c>
      <c r="F54" s="18" t="s">
        <v>154</v>
      </c>
      <c r="G54" s="17" t="s">
        <v>154</v>
      </c>
      <c r="H54" s="18" t="s">
        <v>154</v>
      </c>
      <c r="I54" s="17" t="s">
        <v>154</v>
      </c>
      <c r="J54" s="18" t="s">
        <v>154</v>
      </c>
      <c r="K54" s="17" t="s">
        <v>154</v>
      </c>
      <c r="L54" s="18" t="s">
        <v>154</v>
      </c>
      <c r="M54" s="17" t="s">
        <v>154</v>
      </c>
      <c r="N54" s="18" t="s">
        <v>154</v>
      </c>
      <c r="O54" s="17" t="s">
        <v>154</v>
      </c>
      <c r="P54" s="18" t="s">
        <v>154</v>
      </c>
      <c r="Q54" s="17" t="s">
        <v>154</v>
      </c>
      <c r="R54" s="18" t="s">
        <v>154</v>
      </c>
      <c r="S54" s="17" t="s">
        <v>154</v>
      </c>
      <c r="T54" s="18" t="s">
        <v>154</v>
      </c>
    </row>
    <row r="55" spans="1:20" x14ac:dyDescent="0.25">
      <c r="A55" s="11" t="s">
        <v>188</v>
      </c>
      <c r="B55" s="17" t="s">
        <v>154</v>
      </c>
      <c r="C55" s="17" t="s">
        <v>154</v>
      </c>
      <c r="D55" s="18" t="s">
        <v>154</v>
      </c>
      <c r="E55" s="17" t="s">
        <v>154</v>
      </c>
      <c r="F55" s="18" t="s">
        <v>154</v>
      </c>
      <c r="G55" s="17" t="s">
        <v>154</v>
      </c>
      <c r="H55" s="18" t="s">
        <v>154</v>
      </c>
      <c r="I55" s="17" t="s">
        <v>154</v>
      </c>
      <c r="J55" s="18" t="s">
        <v>154</v>
      </c>
      <c r="K55" s="17" t="s">
        <v>154</v>
      </c>
      <c r="L55" s="18" t="s">
        <v>154</v>
      </c>
      <c r="M55" s="17" t="s">
        <v>154</v>
      </c>
      <c r="N55" s="18" t="s">
        <v>154</v>
      </c>
      <c r="O55" s="17" t="s">
        <v>154</v>
      </c>
      <c r="P55" s="18" t="s">
        <v>154</v>
      </c>
      <c r="Q55" s="17" t="s">
        <v>154</v>
      </c>
      <c r="R55" s="18" t="s">
        <v>154</v>
      </c>
      <c r="S55" s="17" t="s">
        <v>154</v>
      </c>
      <c r="T55" s="18" t="s">
        <v>154</v>
      </c>
    </row>
    <row r="56" spans="1:20" x14ac:dyDescent="0.25">
      <c r="A56" s="11" t="s">
        <v>189</v>
      </c>
      <c r="B56" s="13">
        <v>2684</v>
      </c>
      <c r="C56" s="14">
        <f>(2255/B56*100)</f>
        <v>84.016393442622956</v>
      </c>
      <c r="D56" s="15">
        <v>429</v>
      </c>
      <c r="E56" s="14">
        <v>44.270500939999998</v>
      </c>
      <c r="F56" s="16">
        <v>2.6666549000000002</v>
      </c>
      <c r="G56" s="14">
        <v>32.955604059999999</v>
      </c>
      <c r="H56" s="16">
        <v>2.5573309100000001</v>
      </c>
      <c r="I56" s="14">
        <v>22.773895</v>
      </c>
      <c r="J56" s="16">
        <v>1.9393827800000001</v>
      </c>
      <c r="K56" s="14" t="s">
        <v>139</v>
      </c>
      <c r="L56" s="16" t="s">
        <v>139</v>
      </c>
      <c r="M56" s="14">
        <v>0</v>
      </c>
      <c r="N56" s="16">
        <v>0</v>
      </c>
      <c r="O56" s="14">
        <v>0</v>
      </c>
      <c r="P56" s="16">
        <v>0</v>
      </c>
      <c r="Q56" s="14">
        <v>0</v>
      </c>
      <c r="R56" s="16">
        <v>0</v>
      </c>
      <c r="S56" s="14">
        <v>0</v>
      </c>
      <c r="T56" s="16">
        <v>0</v>
      </c>
    </row>
    <row r="57" spans="1:20" x14ac:dyDescent="0.25">
      <c r="A57" s="11" t="s">
        <v>190</v>
      </c>
      <c r="B57" s="17" t="s">
        <v>154</v>
      </c>
      <c r="C57" s="17" t="s">
        <v>154</v>
      </c>
      <c r="D57" s="18" t="s">
        <v>154</v>
      </c>
      <c r="E57" s="17" t="s">
        <v>154</v>
      </c>
      <c r="F57" s="18" t="s">
        <v>154</v>
      </c>
      <c r="G57" s="17" t="s">
        <v>154</v>
      </c>
      <c r="H57" s="18" t="s">
        <v>154</v>
      </c>
      <c r="I57" s="17" t="s">
        <v>154</v>
      </c>
      <c r="J57" s="18" t="s">
        <v>154</v>
      </c>
      <c r="K57" s="17" t="s">
        <v>154</v>
      </c>
      <c r="L57" s="18" t="s">
        <v>154</v>
      </c>
      <c r="M57" s="17" t="s">
        <v>154</v>
      </c>
      <c r="N57" s="18" t="s">
        <v>154</v>
      </c>
      <c r="O57" s="17" t="s">
        <v>154</v>
      </c>
      <c r="P57" s="18" t="s">
        <v>154</v>
      </c>
      <c r="Q57" s="17" t="s">
        <v>154</v>
      </c>
      <c r="R57" s="18" t="s">
        <v>154</v>
      </c>
      <c r="S57" s="17" t="s">
        <v>154</v>
      </c>
      <c r="T57" s="18" t="s">
        <v>154</v>
      </c>
    </row>
    <row r="58" spans="1:20" x14ac:dyDescent="0.25">
      <c r="A58" s="11" t="s">
        <v>191</v>
      </c>
      <c r="B58" s="17" t="s">
        <v>154</v>
      </c>
      <c r="C58" s="17" t="s">
        <v>154</v>
      </c>
      <c r="D58" s="18" t="s">
        <v>154</v>
      </c>
      <c r="E58" s="17" t="s">
        <v>154</v>
      </c>
      <c r="F58" s="18" t="s">
        <v>154</v>
      </c>
      <c r="G58" s="17" t="s">
        <v>154</v>
      </c>
      <c r="H58" s="18" t="s">
        <v>154</v>
      </c>
      <c r="I58" s="17" t="s">
        <v>154</v>
      </c>
      <c r="J58" s="18" t="s">
        <v>154</v>
      </c>
      <c r="K58" s="17" t="s">
        <v>154</v>
      </c>
      <c r="L58" s="18" t="s">
        <v>154</v>
      </c>
      <c r="M58" s="17" t="s">
        <v>154</v>
      </c>
      <c r="N58" s="18" t="s">
        <v>154</v>
      </c>
      <c r="O58" s="17" t="s">
        <v>154</v>
      </c>
      <c r="P58" s="18" t="s">
        <v>154</v>
      </c>
      <c r="Q58" s="17" t="s">
        <v>154</v>
      </c>
      <c r="R58" s="18" t="s">
        <v>154</v>
      </c>
      <c r="S58" s="17" t="s">
        <v>154</v>
      </c>
      <c r="T58" s="18" t="s">
        <v>154</v>
      </c>
    </row>
    <row r="59" spans="1:20" x14ac:dyDescent="0.25">
      <c r="A59" s="11" t="s">
        <v>192</v>
      </c>
      <c r="B59" s="17" t="s">
        <v>154</v>
      </c>
      <c r="C59" s="17" t="s">
        <v>154</v>
      </c>
      <c r="D59" s="18" t="s">
        <v>154</v>
      </c>
      <c r="E59" s="17" t="s">
        <v>154</v>
      </c>
      <c r="F59" s="18" t="s">
        <v>154</v>
      </c>
      <c r="G59" s="17" t="s">
        <v>154</v>
      </c>
      <c r="H59" s="18" t="s">
        <v>154</v>
      </c>
      <c r="I59" s="17" t="s">
        <v>154</v>
      </c>
      <c r="J59" s="18" t="s">
        <v>154</v>
      </c>
      <c r="K59" s="17" t="s">
        <v>154</v>
      </c>
      <c r="L59" s="18" t="s">
        <v>154</v>
      </c>
      <c r="M59" s="17" t="s">
        <v>154</v>
      </c>
      <c r="N59" s="18" t="s">
        <v>154</v>
      </c>
      <c r="O59" s="17" t="s">
        <v>154</v>
      </c>
      <c r="P59" s="18" t="s">
        <v>154</v>
      </c>
      <c r="Q59" s="17" t="s">
        <v>154</v>
      </c>
      <c r="R59" s="18" t="s">
        <v>154</v>
      </c>
      <c r="S59" s="17" t="s">
        <v>154</v>
      </c>
      <c r="T59" s="18" t="s">
        <v>154</v>
      </c>
    </row>
    <row r="60" spans="1:20" x14ac:dyDescent="0.25">
      <c r="A60" s="11" t="s">
        <v>193</v>
      </c>
      <c r="B60" s="17" t="s">
        <v>154</v>
      </c>
      <c r="C60" s="17" t="s">
        <v>154</v>
      </c>
      <c r="D60" s="18" t="s">
        <v>154</v>
      </c>
      <c r="E60" s="17" t="s">
        <v>154</v>
      </c>
      <c r="F60" s="18" t="s">
        <v>154</v>
      </c>
      <c r="G60" s="17" t="s">
        <v>154</v>
      </c>
      <c r="H60" s="18" t="s">
        <v>154</v>
      </c>
      <c r="I60" s="17" t="s">
        <v>154</v>
      </c>
      <c r="J60" s="18" t="s">
        <v>154</v>
      </c>
      <c r="K60" s="17" t="s">
        <v>154</v>
      </c>
      <c r="L60" s="18" t="s">
        <v>154</v>
      </c>
      <c r="M60" s="17" t="s">
        <v>154</v>
      </c>
      <c r="N60" s="18" t="s">
        <v>154</v>
      </c>
      <c r="O60" s="17" t="s">
        <v>154</v>
      </c>
      <c r="P60" s="18" t="s">
        <v>154</v>
      </c>
      <c r="Q60" s="17" t="s">
        <v>154</v>
      </c>
      <c r="R60" s="18" t="s">
        <v>154</v>
      </c>
      <c r="S60" s="17" t="s">
        <v>154</v>
      </c>
      <c r="T60" s="18" t="s">
        <v>154</v>
      </c>
    </row>
    <row r="61" spans="1:20" x14ac:dyDescent="0.25">
      <c r="A61" s="11" t="s">
        <v>194</v>
      </c>
      <c r="B61" s="13">
        <v>3324</v>
      </c>
      <c r="C61" s="14">
        <f>(2822/B61*100)</f>
        <v>84.897713598074603</v>
      </c>
      <c r="D61" s="15">
        <v>502</v>
      </c>
      <c r="E61" s="14">
        <v>54.372317420000002</v>
      </c>
      <c r="F61" s="16">
        <v>2.6342789799999999</v>
      </c>
      <c r="G61" s="14">
        <v>20.515001269999999</v>
      </c>
      <c r="H61" s="16">
        <v>1.8254011400000001</v>
      </c>
      <c r="I61" s="14">
        <v>25.112681299999998</v>
      </c>
      <c r="J61" s="16">
        <v>2.49490385</v>
      </c>
      <c r="K61" s="14" t="s">
        <v>139</v>
      </c>
      <c r="L61" s="16" t="s">
        <v>139</v>
      </c>
      <c r="M61" s="14">
        <v>0</v>
      </c>
      <c r="N61" s="16">
        <v>0</v>
      </c>
      <c r="O61" s="14">
        <v>0</v>
      </c>
      <c r="P61" s="16">
        <v>0</v>
      </c>
      <c r="Q61" s="14">
        <v>0</v>
      </c>
      <c r="R61" s="16">
        <v>0</v>
      </c>
      <c r="S61" s="14">
        <v>0</v>
      </c>
      <c r="T61" s="16">
        <v>0</v>
      </c>
    </row>
    <row r="62" spans="1:20" x14ac:dyDescent="0.25">
      <c r="A62" s="11" t="s">
        <v>195</v>
      </c>
      <c r="B62" s="13">
        <v>2246</v>
      </c>
      <c r="C62" s="14">
        <f>(1878/B62*100)</f>
        <v>83.615316117542292</v>
      </c>
      <c r="D62" s="15">
        <v>368</v>
      </c>
      <c r="E62" s="14">
        <v>37.771976240000001</v>
      </c>
      <c r="F62" s="16">
        <v>2.5065416200000001</v>
      </c>
      <c r="G62" s="14">
        <v>25.010453160000001</v>
      </c>
      <c r="H62" s="16">
        <v>2.2590737000000001</v>
      </c>
      <c r="I62" s="14">
        <v>37.217570600000002</v>
      </c>
      <c r="J62" s="16">
        <v>2.3531321599999999</v>
      </c>
      <c r="K62" s="14" t="s">
        <v>139</v>
      </c>
      <c r="L62" s="16" t="s">
        <v>139</v>
      </c>
      <c r="M62" s="14">
        <v>0</v>
      </c>
      <c r="N62" s="16">
        <v>0</v>
      </c>
      <c r="O62" s="14">
        <v>0</v>
      </c>
      <c r="P62" s="16">
        <v>0</v>
      </c>
      <c r="Q62" s="14">
        <v>0</v>
      </c>
      <c r="R62" s="16">
        <v>0</v>
      </c>
      <c r="S62" s="14">
        <v>0</v>
      </c>
      <c r="T62" s="16">
        <v>0</v>
      </c>
    </row>
    <row r="63" spans="1:20" x14ac:dyDescent="0.25">
      <c r="A63" s="11" t="s">
        <v>196</v>
      </c>
      <c r="B63" s="17" t="s">
        <v>154</v>
      </c>
      <c r="C63" s="17" t="s">
        <v>154</v>
      </c>
      <c r="D63" s="18" t="s">
        <v>154</v>
      </c>
      <c r="E63" s="17" t="s">
        <v>154</v>
      </c>
      <c r="F63" s="18" t="s">
        <v>154</v>
      </c>
      <c r="G63" s="17" t="s">
        <v>154</v>
      </c>
      <c r="H63" s="18" t="s">
        <v>154</v>
      </c>
      <c r="I63" s="17" t="s">
        <v>154</v>
      </c>
      <c r="J63" s="18" t="s">
        <v>154</v>
      </c>
      <c r="K63" s="17" t="s">
        <v>154</v>
      </c>
      <c r="L63" s="18" t="s">
        <v>154</v>
      </c>
      <c r="M63" s="17" t="s">
        <v>154</v>
      </c>
      <c r="N63" s="18" t="s">
        <v>154</v>
      </c>
      <c r="O63" s="17" t="s">
        <v>154</v>
      </c>
      <c r="P63" s="18" t="s">
        <v>154</v>
      </c>
      <c r="Q63" s="17" t="s">
        <v>154</v>
      </c>
      <c r="R63" s="18" t="s">
        <v>154</v>
      </c>
      <c r="S63" s="17" t="s">
        <v>154</v>
      </c>
      <c r="T63" s="18" t="s">
        <v>154</v>
      </c>
    </row>
    <row r="64" spans="1:20" x14ac:dyDescent="0.25">
      <c r="A64" s="11" t="s">
        <v>197</v>
      </c>
      <c r="B64" s="17" t="s">
        <v>154</v>
      </c>
      <c r="C64" s="17" t="s">
        <v>154</v>
      </c>
      <c r="D64" s="18" t="s">
        <v>154</v>
      </c>
      <c r="E64" s="17" t="s">
        <v>154</v>
      </c>
      <c r="F64" s="18" t="s">
        <v>154</v>
      </c>
      <c r="G64" s="17" t="s">
        <v>154</v>
      </c>
      <c r="H64" s="18" t="s">
        <v>154</v>
      </c>
      <c r="I64" s="17" t="s">
        <v>154</v>
      </c>
      <c r="J64" s="18" t="s">
        <v>154</v>
      </c>
      <c r="K64" s="17" t="s">
        <v>154</v>
      </c>
      <c r="L64" s="18" t="s">
        <v>154</v>
      </c>
      <c r="M64" s="17" t="s">
        <v>154</v>
      </c>
      <c r="N64" s="18" t="s">
        <v>154</v>
      </c>
      <c r="O64" s="17" t="s">
        <v>154</v>
      </c>
      <c r="P64" s="18" t="s">
        <v>154</v>
      </c>
      <c r="Q64" s="17" t="s">
        <v>154</v>
      </c>
      <c r="R64" s="18" t="s">
        <v>154</v>
      </c>
      <c r="S64" s="17" t="s">
        <v>154</v>
      </c>
      <c r="T64" s="18" t="s">
        <v>154</v>
      </c>
    </row>
    <row r="65" spans="1:20" x14ac:dyDescent="0.25">
      <c r="A65" s="11" t="s">
        <v>198</v>
      </c>
      <c r="B65" s="17" t="s">
        <v>154</v>
      </c>
      <c r="C65" s="17" t="s">
        <v>154</v>
      </c>
      <c r="D65" s="18" t="s">
        <v>154</v>
      </c>
      <c r="E65" s="17" t="s">
        <v>154</v>
      </c>
      <c r="F65" s="18" t="s">
        <v>154</v>
      </c>
      <c r="G65" s="17" t="s">
        <v>154</v>
      </c>
      <c r="H65" s="18" t="s">
        <v>154</v>
      </c>
      <c r="I65" s="17" t="s">
        <v>154</v>
      </c>
      <c r="J65" s="18" t="s">
        <v>154</v>
      </c>
      <c r="K65" s="17" t="s">
        <v>154</v>
      </c>
      <c r="L65" s="18" t="s">
        <v>154</v>
      </c>
      <c r="M65" s="17" t="s">
        <v>154</v>
      </c>
      <c r="N65" s="18" t="s">
        <v>154</v>
      </c>
      <c r="O65" s="17" t="s">
        <v>154</v>
      </c>
      <c r="P65" s="18" t="s">
        <v>154</v>
      </c>
      <c r="Q65" s="17" t="s">
        <v>154</v>
      </c>
      <c r="R65" s="18" t="s">
        <v>154</v>
      </c>
      <c r="S65" s="17" t="s">
        <v>154</v>
      </c>
      <c r="T65" s="18" t="s">
        <v>154</v>
      </c>
    </row>
    <row r="66" spans="1:20" x14ac:dyDescent="0.25">
      <c r="A66" s="11" t="s">
        <v>199</v>
      </c>
      <c r="B66" s="13">
        <v>2894</v>
      </c>
      <c r="C66" s="14">
        <f>(2470/B66*100)</f>
        <v>85.348997926744985</v>
      </c>
      <c r="D66" s="15">
        <v>424</v>
      </c>
      <c r="E66" s="14">
        <v>58.720891000000002</v>
      </c>
      <c r="F66" s="16">
        <v>2.3262399899999999</v>
      </c>
      <c r="G66" s="14">
        <v>24.327468870000001</v>
      </c>
      <c r="H66" s="16">
        <v>2.0114520200000001</v>
      </c>
      <c r="I66" s="14">
        <v>16.951640139999999</v>
      </c>
      <c r="J66" s="16">
        <v>1.95168816</v>
      </c>
      <c r="K66" s="14" t="s">
        <v>139</v>
      </c>
      <c r="L66" s="16" t="s">
        <v>139</v>
      </c>
      <c r="M66" s="14">
        <v>0</v>
      </c>
      <c r="N66" s="16">
        <v>0</v>
      </c>
      <c r="O66" s="14">
        <v>0</v>
      </c>
      <c r="P66" s="16">
        <v>0</v>
      </c>
      <c r="Q66" s="14">
        <v>0</v>
      </c>
      <c r="R66" s="16">
        <v>0</v>
      </c>
      <c r="S66" s="14">
        <v>0</v>
      </c>
      <c r="T66" s="16">
        <v>0</v>
      </c>
    </row>
    <row r="67" spans="1:20" x14ac:dyDescent="0.25">
      <c r="A67" s="11" t="s">
        <v>200</v>
      </c>
      <c r="B67" s="13">
        <v>3511</v>
      </c>
      <c r="C67" s="14">
        <f>(3065/B67*100)</f>
        <v>87.297066362859582</v>
      </c>
      <c r="D67" s="15">
        <v>446</v>
      </c>
      <c r="E67" s="14">
        <v>52.094152860000001</v>
      </c>
      <c r="F67" s="16">
        <v>2.7528756799999998</v>
      </c>
      <c r="G67" s="14">
        <v>32.471476000000003</v>
      </c>
      <c r="H67" s="16">
        <v>2.82659598</v>
      </c>
      <c r="I67" s="14">
        <v>15.43437114</v>
      </c>
      <c r="J67" s="16">
        <v>1.96911657</v>
      </c>
      <c r="K67" s="14" t="s">
        <v>139</v>
      </c>
      <c r="L67" s="16" t="s">
        <v>139</v>
      </c>
      <c r="M67" s="14">
        <v>0</v>
      </c>
      <c r="N67" s="16">
        <v>0</v>
      </c>
      <c r="O67" s="14">
        <v>0</v>
      </c>
      <c r="P67" s="16">
        <v>0</v>
      </c>
      <c r="Q67" s="14">
        <v>0</v>
      </c>
      <c r="R67" s="16">
        <v>0</v>
      </c>
      <c r="S67" s="14">
        <v>0</v>
      </c>
      <c r="T67" s="16">
        <v>0</v>
      </c>
    </row>
    <row r="68" spans="1:20" x14ac:dyDescent="0.25">
      <c r="A68" s="11" t="s">
        <v>201</v>
      </c>
      <c r="B68" s="17" t="s">
        <v>154</v>
      </c>
      <c r="C68" s="17" t="s">
        <v>154</v>
      </c>
      <c r="D68" s="18" t="s">
        <v>154</v>
      </c>
      <c r="E68" s="17" t="s">
        <v>154</v>
      </c>
      <c r="F68" s="18" t="s">
        <v>154</v>
      </c>
      <c r="G68" s="17" t="s">
        <v>154</v>
      </c>
      <c r="H68" s="18" t="s">
        <v>154</v>
      </c>
      <c r="I68" s="17" t="s">
        <v>154</v>
      </c>
      <c r="J68" s="18" t="s">
        <v>154</v>
      </c>
      <c r="K68" s="17" t="s">
        <v>154</v>
      </c>
      <c r="L68" s="18" t="s">
        <v>154</v>
      </c>
      <c r="M68" s="17" t="s">
        <v>154</v>
      </c>
      <c r="N68" s="18" t="s">
        <v>154</v>
      </c>
      <c r="O68" s="17" t="s">
        <v>154</v>
      </c>
      <c r="P68" s="18" t="s">
        <v>154</v>
      </c>
      <c r="Q68" s="17" t="s">
        <v>154</v>
      </c>
      <c r="R68" s="18" t="s">
        <v>154</v>
      </c>
      <c r="S68" s="17" t="s">
        <v>154</v>
      </c>
      <c r="T68" s="18" t="s">
        <v>154</v>
      </c>
    </row>
    <row r="69" spans="1:20" x14ac:dyDescent="0.25">
      <c r="A69" s="11" t="s">
        <v>202</v>
      </c>
      <c r="B69" s="17" t="s">
        <v>154</v>
      </c>
      <c r="C69" s="17" t="s">
        <v>154</v>
      </c>
      <c r="D69" s="18" t="s">
        <v>154</v>
      </c>
      <c r="E69" s="17" t="s">
        <v>154</v>
      </c>
      <c r="F69" s="18" t="s">
        <v>154</v>
      </c>
      <c r="G69" s="17" t="s">
        <v>154</v>
      </c>
      <c r="H69" s="18" t="s">
        <v>154</v>
      </c>
      <c r="I69" s="17" t="s">
        <v>154</v>
      </c>
      <c r="J69" s="18" t="s">
        <v>154</v>
      </c>
      <c r="K69" s="17" t="s">
        <v>154</v>
      </c>
      <c r="L69" s="18" t="s">
        <v>154</v>
      </c>
      <c r="M69" s="17" t="s">
        <v>154</v>
      </c>
      <c r="N69" s="18" t="s">
        <v>154</v>
      </c>
      <c r="O69" s="17" t="s">
        <v>154</v>
      </c>
      <c r="P69" s="18" t="s">
        <v>154</v>
      </c>
      <c r="Q69" s="17" t="s">
        <v>154</v>
      </c>
      <c r="R69" s="18" t="s">
        <v>154</v>
      </c>
      <c r="S69" s="17" t="s">
        <v>154</v>
      </c>
      <c r="T69" s="18" t="s">
        <v>154</v>
      </c>
    </row>
    <row r="70" spans="1:20" x14ac:dyDescent="0.25">
      <c r="A70" s="11" t="s">
        <v>203</v>
      </c>
      <c r="B70" s="13">
        <v>2929</v>
      </c>
      <c r="C70" s="14">
        <f>(2480/B70*100)</f>
        <v>84.670536019119155</v>
      </c>
      <c r="D70" s="15">
        <v>449</v>
      </c>
      <c r="E70" s="14">
        <v>54.905436899999998</v>
      </c>
      <c r="F70" s="16">
        <v>2.4255750900000002</v>
      </c>
      <c r="G70" s="14">
        <v>23.272353339999999</v>
      </c>
      <c r="H70" s="16">
        <v>2.1665730000000001</v>
      </c>
      <c r="I70" s="14">
        <v>21.82220976</v>
      </c>
      <c r="J70" s="16">
        <v>2.0360123699999999</v>
      </c>
      <c r="K70" s="14" t="s">
        <v>139</v>
      </c>
      <c r="L70" s="16" t="s">
        <v>139</v>
      </c>
      <c r="M70" s="14">
        <v>0</v>
      </c>
      <c r="N70" s="16">
        <v>0</v>
      </c>
      <c r="O70" s="14">
        <v>0</v>
      </c>
      <c r="P70" s="16">
        <v>0</v>
      </c>
      <c r="Q70" s="14">
        <v>0</v>
      </c>
      <c r="R70" s="16">
        <v>0</v>
      </c>
      <c r="S70" s="14">
        <v>0</v>
      </c>
      <c r="T70" s="16">
        <v>0</v>
      </c>
    </row>
    <row r="71" spans="1:20" x14ac:dyDescent="0.25">
      <c r="A71" s="11" t="s">
        <v>204</v>
      </c>
      <c r="B71" s="17" t="s">
        <v>154</v>
      </c>
      <c r="C71" s="17" t="s">
        <v>154</v>
      </c>
      <c r="D71" s="18" t="s">
        <v>154</v>
      </c>
      <c r="E71" s="17" t="s">
        <v>154</v>
      </c>
      <c r="F71" s="18" t="s">
        <v>154</v>
      </c>
      <c r="G71" s="17" t="s">
        <v>154</v>
      </c>
      <c r="H71" s="18" t="s">
        <v>154</v>
      </c>
      <c r="I71" s="17" t="s">
        <v>154</v>
      </c>
      <c r="J71" s="18" t="s">
        <v>154</v>
      </c>
      <c r="K71" s="17" t="s">
        <v>154</v>
      </c>
      <c r="L71" s="18" t="s">
        <v>154</v>
      </c>
      <c r="M71" s="17" t="s">
        <v>154</v>
      </c>
      <c r="N71" s="18" t="s">
        <v>154</v>
      </c>
      <c r="O71" s="17" t="s">
        <v>154</v>
      </c>
      <c r="P71" s="18" t="s">
        <v>154</v>
      </c>
      <c r="Q71" s="17" t="s">
        <v>154</v>
      </c>
      <c r="R71" s="18" t="s">
        <v>154</v>
      </c>
      <c r="S71" s="17" t="s">
        <v>154</v>
      </c>
      <c r="T71" s="18" t="s">
        <v>154</v>
      </c>
    </row>
    <row r="72" spans="1:20" x14ac:dyDescent="0.25">
      <c r="A72" s="11" t="s">
        <v>205</v>
      </c>
      <c r="B72" s="13">
        <v>3889</v>
      </c>
      <c r="C72" s="14">
        <f>(3219/B72*100)</f>
        <v>82.771920802262784</v>
      </c>
      <c r="D72" s="15">
        <v>670</v>
      </c>
      <c r="E72" s="14">
        <v>31.65508496</v>
      </c>
      <c r="F72" s="16">
        <v>1.83627893</v>
      </c>
      <c r="G72" s="14">
        <v>42.437474219999999</v>
      </c>
      <c r="H72" s="16">
        <v>2.0002062700000001</v>
      </c>
      <c r="I72" s="14">
        <v>25.907440820000001</v>
      </c>
      <c r="J72" s="16">
        <v>2.1605628600000002</v>
      </c>
      <c r="K72" s="14" t="s">
        <v>139</v>
      </c>
      <c r="L72" s="16" t="s">
        <v>139</v>
      </c>
      <c r="M72" s="14">
        <v>0</v>
      </c>
      <c r="N72" s="16">
        <v>0</v>
      </c>
      <c r="O72" s="14">
        <v>0</v>
      </c>
      <c r="P72" s="16">
        <v>0</v>
      </c>
      <c r="Q72" s="14">
        <v>0</v>
      </c>
      <c r="R72" s="16">
        <v>0</v>
      </c>
      <c r="S72" s="14">
        <v>0</v>
      </c>
      <c r="T72" s="16">
        <v>0</v>
      </c>
    </row>
    <row r="73" spans="1:20" x14ac:dyDescent="0.25">
      <c r="A73" s="11" t="s">
        <v>206</v>
      </c>
      <c r="B73" s="13">
        <v>3597</v>
      </c>
      <c r="C73" s="14">
        <f>(3063/B73*100)</f>
        <v>85.154295246038373</v>
      </c>
      <c r="D73" s="15">
        <v>534</v>
      </c>
      <c r="E73" s="14">
        <v>67.778727970000006</v>
      </c>
      <c r="F73" s="16">
        <v>2.4261424900000002</v>
      </c>
      <c r="G73" s="14">
        <v>18.483798499999999</v>
      </c>
      <c r="H73" s="16">
        <v>1.8265454699999999</v>
      </c>
      <c r="I73" s="14">
        <v>13.737473530000001</v>
      </c>
      <c r="J73" s="16">
        <v>1.92936296</v>
      </c>
      <c r="K73" s="14" t="s">
        <v>139</v>
      </c>
      <c r="L73" s="16" t="s">
        <v>139</v>
      </c>
      <c r="M73" s="14">
        <v>0</v>
      </c>
      <c r="N73" s="16">
        <v>0</v>
      </c>
      <c r="O73" s="14">
        <v>0</v>
      </c>
      <c r="P73" s="16">
        <v>0</v>
      </c>
      <c r="Q73" s="14">
        <v>0</v>
      </c>
      <c r="R73" s="16">
        <v>0</v>
      </c>
      <c r="S73" s="14">
        <v>0</v>
      </c>
      <c r="T73" s="16">
        <v>0</v>
      </c>
    </row>
    <row r="74" spans="1:20" x14ac:dyDescent="0.25">
      <c r="A74" s="11" t="s">
        <v>207</v>
      </c>
      <c r="B74" s="17" t="s">
        <v>154</v>
      </c>
      <c r="C74" s="17" t="s">
        <v>154</v>
      </c>
      <c r="D74" s="18" t="s">
        <v>154</v>
      </c>
      <c r="E74" s="17" t="s">
        <v>154</v>
      </c>
      <c r="F74" s="18" t="s">
        <v>154</v>
      </c>
      <c r="G74" s="17" t="s">
        <v>154</v>
      </c>
      <c r="H74" s="18" t="s">
        <v>154</v>
      </c>
      <c r="I74" s="17" t="s">
        <v>154</v>
      </c>
      <c r="J74" s="18" t="s">
        <v>154</v>
      </c>
      <c r="K74" s="17" t="s">
        <v>154</v>
      </c>
      <c r="L74" s="18" t="s">
        <v>154</v>
      </c>
      <c r="M74" s="17" t="s">
        <v>154</v>
      </c>
      <c r="N74" s="18" t="s">
        <v>154</v>
      </c>
      <c r="O74" s="17" t="s">
        <v>154</v>
      </c>
      <c r="P74" s="18" t="s">
        <v>154</v>
      </c>
      <c r="Q74" s="17" t="s">
        <v>154</v>
      </c>
      <c r="R74" s="18" t="s">
        <v>154</v>
      </c>
      <c r="S74" s="17" t="s">
        <v>154</v>
      </c>
      <c r="T74" s="18" t="s">
        <v>154</v>
      </c>
    </row>
    <row r="75" spans="1:20" x14ac:dyDescent="0.25">
      <c r="A75" s="11" t="s">
        <v>208</v>
      </c>
      <c r="B75" s="13">
        <v>2406</v>
      </c>
      <c r="C75" s="14">
        <f>(2070/B75*100)</f>
        <v>86.034912718204495</v>
      </c>
      <c r="D75" s="15">
        <v>336</v>
      </c>
      <c r="E75" s="14">
        <v>72.510418139999999</v>
      </c>
      <c r="F75" s="16">
        <v>2.82501289</v>
      </c>
      <c r="G75" s="14">
        <v>16.826614129999999</v>
      </c>
      <c r="H75" s="16">
        <v>2.0477404400000001</v>
      </c>
      <c r="I75" s="14">
        <v>10.66296773</v>
      </c>
      <c r="J75" s="16">
        <v>1.72159324</v>
      </c>
      <c r="K75" s="14" t="s">
        <v>139</v>
      </c>
      <c r="L75" s="16" t="s">
        <v>139</v>
      </c>
      <c r="M75" s="14">
        <v>0</v>
      </c>
      <c r="N75" s="16">
        <v>0</v>
      </c>
      <c r="O75" s="14">
        <v>0</v>
      </c>
      <c r="P75" s="16">
        <v>0</v>
      </c>
      <c r="Q75" s="14">
        <v>0</v>
      </c>
      <c r="R75" s="16">
        <v>0</v>
      </c>
      <c r="S75" s="14">
        <v>0</v>
      </c>
      <c r="T75" s="16">
        <v>0</v>
      </c>
    </row>
    <row r="76" spans="1:20" x14ac:dyDescent="0.25">
      <c r="A76" s="11" t="s">
        <v>209</v>
      </c>
      <c r="B76" s="13">
        <v>7052</v>
      </c>
      <c r="C76" s="14">
        <f>(5883/B76*100)</f>
        <v>83.423142370958587</v>
      </c>
      <c r="D76" s="15">
        <v>1169</v>
      </c>
      <c r="E76" s="14">
        <v>56.942610780000003</v>
      </c>
      <c r="F76" s="16">
        <v>1.8087915699999999</v>
      </c>
      <c r="G76" s="14">
        <v>26.16566255</v>
      </c>
      <c r="H76" s="16">
        <v>1.6229260999999999</v>
      </c>
      <c r="I76" s="14">
        <v>16.891726670000001</v>
      </c>
      <c r="J76" s="16">
        <v>1.17586637</v>
      </c>
      <c r="K76" s="14" t="s">
        <v>139</v>
      </c>
      <c r="L76" s="16" t="s">
        <v>139</v>
      </c>
      <c r="M76" s="14">
        <v>0</v>
      </c>
      <c r="N76" s="16">
        <v>0</v>
      </c>
      <c r="O76" s="14">
        <v>0</v>
      </c>
      <c r="P76" s="16">
        <v>0</v>
      </c>
      <c r="Q76" s="14">
        <v>0</v>
      </c>
      <c r="R76" s="16">
        <v>0</v>
      </c>
      <c r="S76" s="14">
        <v>0</v>
      </c>
      <c r="T76" s="16">
        <v>0</v>
      </c>
    </row>
    <row r="77" spans="1:20" x14ac:dyDescent="0.25">
      <c r="A77" s="11" t="s">
        <v>210</v>
      </c>
      <c r="B77" s="13">
        <v>2908</v>
      </c>
      <c r="C77" s="14">
        <f>(2509/B77*100)</f>
        <v>86.279229711141681</v>
      </c>
      <c r="D77" s="15">
        <v>399</v>
      </c>
      <c r="E77" s="14">
        <v>52.180319169999997</v>
      </c>
      <c r="F77" s="16">
        <v>2.4381121600000002</v>
      </c>
      <c r="G77" s="14">
        <v>30.121358870000002</v>
      </c>
      <c r="H77" s="16">
        <v>2.2787547799999999</v>
      </c>
      <c r="I77" s="14">
        <v>17.698321969999999</v>
      </c>
      <c r="J77" s="16">
        <v>1.8880890400000001</v>
      </c>
      <c r="K77" s="14" t="s">
        <v>139</v>
      </c>
      <c r="L77" s="16" t="s">
        <v>139</v>
      </c>
      <c r="M77" s="14">
        <v>0</v>
      </c>
      <c r="N77" s="16">
        <v>0</v>
      </c>
      <c r="O77" s="14">
        <v>0</v>
      </c>
      <c r="P77" s="16">
        <v>0</v>
      </c>
      <c r="Q77" s="14">
        <v>0</v>
      </c>
      <c r="R77" s="16">
        <v>0</v>
      </c>
      <c r="S77" s="14">
        <v>0</v>
      </c>
      <c r="T77" s="16">
        <v>0</v>
      </c>
    </row>
    <row r="78" spans="1:20" x14ac:dyDescent="0.25">
      <c r="A78" s="11" t="s">
        <v>211</v>
      </c>
      <c r="B78" s="17" t="s">
        <v>154</v>
      </c>
      <c r="C78" s="17" t="s">
        <v>154</v>
      </c>
      <c r="D78" s="18" t="s">
        <v>154</v>
      </c>
      <c r="E78" s="17" t="s">
        <v>154</v>
      </c>
      <c r="F78" s="18" t="s">
        <v>154</v>
      </c>
      <c r="G78" s="17" t="s">
        <v>154</v>
      </c>
      <c r="H78" s="18" t="s">
        <v>154</v>
      </c>
      <c r="I78" s="17" t="s">
        <v>154</v>
      </c>
      <c r="J78" s="18" t="s">
        <v>154</v>
      </c>
      <c r="K78" s="17" t="s">
        <v>154</v>
      </c>
      <c r="L78" s="18" t="s">
        <v>154</v>
      </c>
      <c r="M78" s="17" t="s">
        <v>154</v>
      </c>
      <c r="N78" s="18" t="s">
        <v>154</v>
      </c>
      <c r="O78" s="17" t="s">
        <v>154</v>
      </c>
      <c r="P78" s="18" t="s">
        <v>154</v>
      </c>
      <c r="Q78" s="17" t="s">
        <v>154</v>
      </c>
      <c r="R78" s="18" t="s">
        <v>154</v>
      </c>
      <c r="S78" s="17" t="s">
        <v>154</v>
      </c>
      <c r="T78" s="18" t="s">
        <v>154</v>
      </c>
    </row>
    <row r="79" spans="1:20" ht="24.95" customHeight="1" x14ac:dyDescent="0.25">
      <c r="A79" s="11" t="s">
        <v>212</v>
      </c>
      <c r="B79" s="17" t="s">
        <v>154</v>
      </c>
      <c r="C79" s="17" t="s">
        <v>154</v>
      </c>
      <c r="D79" s="18" t="s">
        <v>154</v>
      </c>
      <c r="E79" s="17" t="s">
        <v>154</v>
      </c>
      <c r="F79" s="18" t="s">
        <v>154</v>
      </c>
      <c r="G79" s="17" t="s">
        <v>154</v>
      </c>
      <c r="H79" s="18" t="s">
        <v>154</v>
      </c>
      <c r="I79" s="17" t="s">
        <v>154</v>
      </c>
      <c r="J79" s="18" t="s">
        <v>154</v>
      </c>
      <c r="K79" s="17" t="s">
        <v>154</v>
      </c>
      <c r="L79" s="18" t="s">
        <v>154</v>
      </c>
      <c r="M79" s="17" t="s">
        <v>154</v>
      </c>
      <c r="N79" s="18" t="s">
        <v>154</v>
      </c>
      <c r="O79" s="17" t="s">
        <v>154</v>
      </c>
      <c r="P79" s="18" t="s">
        <v>154</v>
      </c>
      <c r="Q79" s="17" t="s">
        <v>154</v>
      </c>
      <c r="R79" s="18" t="s">
        <v>154</v>
      </c>
      <c r="S79" s="17" t="s">
        <v>154</v>
      </c>
      <c r="T79" s="18" t="s">
        <v>154</v>
      </c>
    </row>
    <row r="80" spans="1:20" x14ac:dyDescent="0.25">
      <c r="A80" s="11" t="s">
        <v>213</v>
      </c>
      <c r="B80" s="17" t="s">
        <v>154</v>
      </c>
      <c r="C80" s="17" t="s">
        <v>154</v>
      </c>
      <c r="D80" s="18" t="s">
        <v>154</v>
      </c>
      <c r="E80" s="17" t="s">
        <v>154</v>
      </c>
      <c r="F80" s="18" t="s">
        <v>154</v>
      </c>
      <c r="G80" s="17" t="s">
        <v>154</v>
      </c>
      <c r="H80" s="18" t="s">
        <v>154</v>
      </c>
      <c r="I80" s="17" t="s">
        <v>154</v>
      </c>
      <c r="J80" s="18" t="s">
        <v>154</v>
      </c>
      <c r="K80" s="17" t="s">
        <v>154</v>
      </c>
      <c r="L80" s="18" t="s">
        <v>154</v>
      </c>
      <c r="M80" s="17" t="s">
        <v>154</v>
      </c>
      <c r="N80" s="18" t="s">
        <v>154</v>
      </c>
      <c r="O80" s="17" t="s">
        <v>154</v>
      </c>
      <c r="P80" s="18" t="s">
        <v>154</v>
      </c>
      <c r="Q80" s="17" t="s">
        <v>154</v>
      </c>
      <c r="R80" s="18" t="s">
        <v>154</v>
      </c>
      <c r="S80" s="17" t="s">
        <v>154</v>
      </c>
      <c r="T80" s="18" t="s">
        <v>154</v>
      </c>
    </row>
    <row r="81" spans="1:20" x14ac:dyDescent="0.25">
      <c r="A81" s="19" t="s">
        <v>214</v>
      </c>
      <c r="B81" s="13">
        <v>4163</v>
      </c>
      <c r="C81" s="14">
        <f>(3481/B81*100)</f>
        <v>83.617583473456648</v>
      </c>
      <c r="D81" s="15">
        <v>682</v>
      </c>
      <c r="E81" s="14">
        <v>50.893002299999999</v>
      </c>
      <c r="F81" s="16">
        <v>2.1836694200000002</v>
      </c>
      <c r="G81" s="14">
        <v>26.112195140000001</v>
      </c>
      <c r="H81" s="16">
        <v>1.82569062</v>
      </c>
      <c r="I81" s="14">
        <v>22.99480256</v>
      </c>
      <c r="J81" s="16">
        <v>2.1144956700000002</v>
      </c>
      <c r="K81" s="14" t="s">
        <v>139</v>
      </c>
      <c r="L81" s="16" t="s">
        <v>139</v>
      </c>
      <c r="M81" s="14">
        <v>0</v>
      </c>
      <c r="N81" s="16">
        <v>0</v>
      </c>
      <c r="O81" s="14">
        <v>0</v>
      </c>
      <c r="P81" s="16">
        <v>0</v>
      </c>
      <c r="Q81" s="14">
        <v>0</v>
      </c>
      <c r="R81" s="16">
        <v>0</v>
      </c>
      <c r="S81" s="14">
        <v>0</v>
      </c>
      <c r="T81" s="16">
        <v>0</v>
      </c>
    </row>
    <row r="82" spans="1:20" x14ac:dyDescent="0.25">
      <c r="A82" s="20"/>
      <c r="B82" s="20" t="s">
        <v>215</v>
      </c>
      <c r="C82" s="20" t="s">
        <v>215</v>
      </c>
      <c r="D82" s="20" t="s">
        <v>215</v>
      </c>
      <c r="E82" s="20" t="s">
        <v>215</v>
      </c>
      <c r="F82" s="20" t="s">
        <v>215</v>
      </c>
      <c r="G82" s="20" t="s">
        <v>215</v>
      </c>
      <c r="H82" s="20" t="s">
        <v>215</v>
      </c>
      <c r="I82" s="20" t="s">
        <v>215</v>
      </c>
      <c r="J82" s="20" t="s">
        <v>215</v>
      </c>
      <c r="K82" s="20" t="s">
        <v>215</v>
      </c>
      <c r="L82" s="20" t="s">
        <v>215</v>
      </c>
      <c r="M82" s="20" t="s">
        <v>215</v>
      </c>
      <c r="N82" s="20" t="s">
        <v>215</v>
      </c>
      <c r="O82" s="20" t="s">
        <v>215</v>
      </c>
      <c r="P82" s="20" t="s">
        <v>215</v>
      </c>
      <c r="Q82" s="20" t="s">
        <v>215</v>
      </c>
      <c r="R82" s="20" t="s">
        <v>215</v>
      </c>
      <c r="S82" s="20" t="s">
        <v>215</v>
      </c>
      <c r="T82" s="20" t="s">
        <v>215</v>
      </c>
    </row>
    <row r="83" spans="1:20" x14ac:dyDescent="0.25">
      <c r="A83" s="3" t="s">
        <v>216</v>
      </c>
    </row>
    <row r="84" spans="1:20" x14ac:dyDescent="0.25">
      <c r="A84" s="28" t="s">
        <v>217</v>
      </c>
      <c r="B84" s="26"/>
      <c r="C84" s="26"/>
      <c r="D84" s="26"/>
      <c r="E84" s="26"/>
      <c r="F84" s="26"/>
      <c r="G84" s="26"/>
      <c r="H84" s="26"/>
      <c r="I84" s="26"/>
      <c r="J84" s="26"/>
      <c r="K84" s="26"/>
      <c r="L84" s="26"/>
      <c r="M84" s="26"/>
      <c r="N84" s="26"/>
      <c r="O84" s="26"/>
      <c r="P84" s="26"/>
      <c r="Q84" s="26"/>
      <c r="R84" s="26"/>
      <c r="S84" s="26"/>
      <c r="T84" s="26"/>
    </row>
    <row r="85" spans="1:20" x14ac:dyDescent="0.25">
      <c r="A85" s="28" t="s">
        <v>218</v>
      </c>
      <c r="B85" s="26"/>
      <c r="C85" s="26"/>
      <c r="D85" s="26"/>
      <c r="E85" s="26"/>
      <c r="F85" s="26"/>
      <c r="G85" s="26"/>
      <c r="H85" s="26"/>
      <c r="I85" s="26"/>
      <c r="J85" s="26"/>
      <c r="K85" s="26"/>
      <c r="L85" s="26"/>
      <c r="M85" s="26"/>
      <c r="N85" s="26"/>
      <c r="O85" s="26"/>
      <c r="P85" s="26"/>
      <c r="Q85" s="26"/>
      <c r="R85" s="26"/>
      <c r="S85" s="26"/>
      <c r="T85" s="26"/>
    </row>
    <row r="86" spans="1:20" ht="30" customHeight="1" x14ac:dyDescent="0.25">
      <c r="A86" s="28" t="s">
        <v>219</v>
      </c>
      <c r="B86" s="26"/>
      <c r="C86" s="26"/>
      <c r="D86" s="26"/>
      <c r="E86" s="26"/>
      <c r="F86" s="26"/>
      <c r="G86" s="26"/>
      <c r="H86" s="26"/>
      <c r="I86" s="26"/>
      <c r="J86" s="26"/>
      <c r="K86" s="26"/>
      <c r="L86" s="26"/>
      <c r="M86" s="26"/>
      <c r="N86" s="26"/>
      <c r="O86" s="26"/>
      <c r="P86" s="26"/>
      <c r="Q86" s="26"/>
      <c r="R86" s="26"/>
      <c r="S86" s="26"/>
      <c r="T86" s="26"/>
    </row>
    <row r="87" spans="1:20" ht="30" customHeight="1" x14ac:dyDescent="0.25">
      <c r="A87" s="28" t="s">
        <v>215</v>
      </c>
      <c r="B87" s="26"/>
      <c r="C87" s="26"/>
      <c r="D87" s="26"/>
      <c r="E87" s="26"/>
      <c r="F87" s="26"/>
      <c r="G87" s="26"/>
      <c r="H87" s="26"/>
      <c r="I87" s="26"/>
      <c r="J87" s="26"/>
      <c r="K87" s="26"/>
      <c r="L87" s="26"/>
      <c r="M87" s="26"/>
      <c r="N87" s="26"/>
      <c r="O87" s="26"/>
      <c r="P87" s="26"/>
      <c r="Q87" s="26"/>
      <c r="R87" s="26"/>
      <c r="S87" s="26"/>
      <c r="T87" s="26"/>
    </row>
    <row r="88" spans="1:20" ht="30" customHeight="1" x14ac:dyDescent="0.25">
      <c r="A88" s="28" t="s">
        <v>220</v>
      </c>
      <c r="B88" s="26"/>
      <c r="C88" s="26"/>
      <c r="D88" s="26"/>
      <c r="E88" s="26"/>
      <c r="F88" s="26"/>
      <c r="G88" s="26"/>
      <c r="H88" s="26"/>
      <c r="I88" s="26"/>
      <c r="J88" s="26"/>
      <c r="K88" s="26"/>
      <c r="L88" s="26"/>
      <c r="M88" s="26"/>
      <c r="N88" s="26"/>
      <c r="O88" s="26"/>
      <c r="P88" s="26"/>
      <c r="Q88" s="26"/>
      <c r="R88" s="26"/>
      <c r="S88" s="26"/>
      <c r="T88" s="26"/>
    </row>
    <row r="89" spans="1:20" ht="30" customHeight="1" x14ac:dyDescent="0.25">
      <c r="A89" s="28" t="s">
        <v>221</v>
      </c>
      <c r="B89" s="26"/>
      <c r="C89" s="26"/>
      <c r="D89" s="26"/>
      <c r="E89" s="26"/>
      <c r="F89" s="26"/>
      <c r="G89" s="26"/>
      <c r="H89" s="26"/>
      <c r="I89" s="26"/>
      <c r="J89" s="26"/>
      <c r="K89" s="26"/>
      <c r="L89" s="26"/>
      <c r="M89" s="26"/>
      <c r="N89" s="26"/>
      <c r="O89" s="26"/>
      <c r="P89" s="26"/>
      <c r="Q89" s="26"/>
      <c r="R89" s="26"/>
      <c r="S89" s="26"/>
      <c r="T89" s="26"/>
    </row>
    <row r="90" spans="1:20" ht="30" customHeight="1" x14ac:dyDescent="0.25">
      <c r="A90" s="28" t="s">
        <v>222</v>
      </c>
      <c r="B90" s="26"/>
      <c r="C90" s="26"/>
      <c r="D90" s="26"/>
      <c r="E90" s="26"/>
      <c r="F90" s="26"/>
      <c r="G90" s="26"/>
      <c r="H90" s="26"/>
      <c r="I90" s="26"/>
      <c r="J90" s="26"/>
      <c r="K90" s="26"/>
      <c r="L90" s="26"/>
      <c r="M90" s="26"/>
      <c r="N90" s="26"/>
      <c r="O90" s="26"/>
      <c r="P90" s="26"/>
      <c r="Q90" s="26"/>
      <c r="R90" s="26"/>
      <c r="S90" s="26"/>
      <c r="T90" s="26"/>
    </row>
    <row r="91" spans="1:20" ht="30" customHeight="1" x14ac:dyDescent="0.25">
      <c r="A91" s="28" t="s">
        <v>223</v>
      </c>
      <c r="B91" s="26"/>
      <c r="C91" s="26"/>
      <c r="D91" s="26"/>
      <c r="E91" s="26"/>
      <c r="F91" s="26"/>
      <c r="G91" s="26"/>
      <c r="H91" s="26"/>
      <c r="I91" s="26"/>
      <c r="J91" s="26"/>
      <c r="K91" s="26"/>
      <c r="L91" s="26"/>
      <c r="M91" s="26"/>
      <c r="N91" s="26"/>
      <c r="O91" s="26"/>
      <c r="P91" s="26"/>
      <c r="Q91" s="26"/>
      <c r="R91" s="26"/>
      <c r="S91" s="26"/>
      <c r="T91" s="26"/>
    </row>
    <row r="92" spans="1:20" ht="30" customHeight="1" x14ac:dyDescent="0.25">
      <c r="A92" s="28" t="s">
        <v>224</v>
      </c>
      <c r="B92" s="26"/>
      <c r="C92" s="26"/>
      <c r="D92" s="26"/>
      <c r="E92" s="26"/>
      <c r="F92" s="26"/>
      <c r="G92" s="26"/>
      <c r="H92" s="26"/>
      <c r="I92" s="26"/>
      <c r="J92" s="26"/>
      <c r="K92" s="26"/>
      <c r="L92" s="26"/>
      <c r="M92" s="26"/>
      <c r="N92" s="26"/>
      <c r="O92" s="26"/>
      <c r="P92" s="26"/>
      <c r="Q92" s="26"/>
      <c r="R92" s="26"/>
      <c r="S92" s="26"/>
      <c r="T92" s="26"/>
    </row>
    <row r="93" spans="1:20" ht="30" customHeight="1" x14ac:dyDescent="0.25">
      <c r="A93" s="28" t="s">
        <v>225</v>
      </c>
      <c r="B93" s="26"/>
      <c r="C93" s="26"/>
      <c r="D93" s="26"/>
      <c r="E93" s="26"/>
      <c r="F93" s="26"/>
      <c r="G93" s="26"/>
      <c r="H93" s="26"/>
      <c r="I93" s="26"/>
      <c r="J93" s="26"/>
      <c r="K93" s="26"/>
      <c r="L93" s="26"/>
      <c r="M93" s="26"/>
      <c r="N93" s="26"/>
      <c r="O93" s="26"/>
      <c r="P93" s="26"/>
      <c r="Q93" s="26"/>
      <c r="R93" s="26"/>
      <c r="S93" s="26"/>
      <c r="T93" s="26"/>
    </row>
    <row r="94" spans="1:20" ht="30" customHeight="1" x14ac:dyDescent="0.25">
      <c r="A94" s="28" t="s">
        <v>226</v>
      </c>
      <c r="B94" s="26"/>
      <c r="C94" s="26"/>
      <c r="D94" s="26"/>
      <c r="E94" s="26"/>
      <c r="F94" s="26"/>
      <c r="G94" s="26"/>
      <c r="H94" s="26"/>
      <c r="I94" s="26"/>
      <c r="J94" s="26"/>
      <c r="K94" s="26"/>
      <c r="L94" s="26"/>
      <c r="M94" s="26"/>
      <c r="N94" s="26"/>
      <c r="O94" s="26"/>
      <c r="P94" s="26"/>
      <c r="Q94" s="26"/>
      <c r="R94" s="26"/>
      <c r="S94" s="26"/>
      <c r="T94" s="26"/>
    </row>
    <row r="95" spans="1:20" ht="30" customHeight="1" x14ac:dyDescent="0.25">
      <c r="A95" s="28" t="s">
        <v>227</v>
      </c>
      <c r="B95" s="26"/>
      <c r="C95" s="26"/>
      <c r="D95" s="26"/>
      <c r="E95" s="26"/>
      <c r="F95" s="26"/>
      <c r="G95" s="26"/>
      <c r="H95" s="26"/>
      <c r="I95" s="26"/>
      <c r="J95" s="26"/>
      <c r="K95" s="26"/>
      <c r="L95" s="26"/>
      <c r="M95" s="26"/>
      <c r="N95" s="26"/>
      <c r="O95" s="26"/>
      <c r="P95" s="26"/>
      <c r="Q95" s="26"/>
      <c r="R95" s="26"/>
      <c r="S95" s="26"/>
      <c r="T95" s="26"/>
    </row>
    <row r="96" spans="1:20" ht="30" customHeight="1" x14ac:dyDescent="0.25">
      <c r="A96" s="28" t="s">
        <v>228</v>
      </c>
      <c r="B96" s="26"/>
      <c r="C96" s="26"/>
      <c r="D96" s="26"/>
      <c r="E96" s="26"/>
      <c r="F96" s="26"/>
      <c r="G96" s="26"/>
      <c r="H96" s="26"/>
      <c r="I96" s="26"/>
      <c r="J96" s="26"/>
      <c r="K96" s="26"/>
      <c r="L96" s="26"/>
      <c r="M96" s="26"/>
      <c r="N96" s="26"/>
      <c r="O96" s="26"/>
      <c r="P96" s="26"/>
      <c r="Q96" s="26"/>
      <c r="R96" s="26"/>
      <c r="S96" s="26"/>
      <c r="T96" s="26"/>
    </row>
  </sheetData>
  <mergeCells count="23">
    <mergeCell ref="A94:T94"/>
    <mergeCell ref="A95:T95"/>
    <mergeCell ref="A96:T96"/>
    <mergeCell ref="A89:T89"/>
    <mergeCell ref="A90:T90"/>
    <mergeCell ref="A91:T91"/>
    <mergeCell ref="A92:T92"/>
    <mergeCell ref="A93:T93"/>
    <mergeCell ref="A84:T84"/>
    <mergeCell ref="A85:T85"/>
    <mergeCell ref="A86:T86"/>
    <mergeCell ref="A87:T87"/>
    <mergeCell ref="A88:T88"/>
    <mergeCell ref="O4:P4"/>
    <mergeCell ref="Q4:R4"/>
    <mergeCell ref="S4:T4"/>
    <mergeCell ref="A1:T1"/>
    <mergeCell ref="A2:T2"/>
    <mergeCell ref="E4:F4"/>
    <mergeCell ref="G4:H4"/>
    <mergeCell ref="I4:J4"/>
    <mergeCell ref="K4:L4"/>
    <mergeCell ref="M4:N4"/>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122</vt:i4>
      </vt:variant>
    </vt:vector>
  </HeadingPairs>
  <TitlesOfParts>
    <vt:vector size="122" baseType="lpstr">
      <vt:lpstr>Table of Contents</vt:lpstr>
      <vt:lpstr>CC104101</vt:lpstr>
      <vt:lpstr>CC104102</vt:lpstr>
      <vt:lpstr>CC104103</vt:lpstr>
      <vt:lpstr>CC104104</vt:lpstr>
      <vt:lpstr>CC104105</vt:lpstr>
      <vt:lpstr>CC104106</vt:lpstr>
      <vt:lpstr>CC104107</vt:lpstr>
      <vt:lpstr>CC104201</vt:lpstr>
      <vt:lpstr>CC104202</vt:lpstr>
      <vt:lpstr>CC104203</vt:lpstr>
      <vt:lpstr>CC104204</vt:lpstr>
      <vt:lpstr>CC104205</vt:lpstr>
      <vt:lpstr>CC104206</vt:lpstr>
      <vt:lpstr>CC104301C</vt:lpstr>
      <vt:lpstr>CC104303</vt:lpstr>
      <vt:lpstr>CC104305</vt:lpstr>
      <vt:lpstr>CC104306</vt:lpstr>
      <vt:lpstr>CC106101</vt:lpstr>
      <vt:lpstr>CC106102</vt:lpstr>
      <vt:lpstr>CC106103</vt:lpstr>
      <vt:lpstr>CC106104</vt:lpstr>
      <vt:lpstr>CC106105</vt:lpstr>
      <vt:lpstr>CC106106</vt:lpstr>
      <vt:lpstr>CC106107C</vt:lpstr>
      <vt:lpstr>CC106201</vt:lpstr>
      <vt:lpstr>CC106202</vt:lpstr>
      <vt:lpstr>CC106203</vt:lpstr>
      <vt:lpstr>CC106204</vt:lpstr>
      <vt:lpstr>CC106205</vt:lpstr>
      <vt:lpstr>CC106206</vt:lpstr>
      <vt:lpstr>CC106207</vt:lpstr>
      <vt:lpstr>CC106208</vt:lpstr>
      <vt:lpstr>CC106209</vt:lpstr>
      <vt:lpstr>CC106301</vt:lpstr>
      <vt:lpstr>CC106302</vt:lpstr>
      <vt:lpstr>CC106303</vt:lpstr>
      <vt:lpstr>CC106304</vt:lpstr>
      <vt:lpstr>CC106305</vt:lpstr>
      <vt:lpstr>CC106306</vt:lpstr>
      <vt:lpstr>CC106307</vt:lpstr>
      <vt:lpstr>CC102101</vt:lpstr>
      <vt:lpstr>CC102102C</vt:lpstr>
      <vt:lpstr>CC102201</vt:lpstr>
      <vt:lpstr>CC102202</vt:lpstr>
      <vt:lpstr>CC102203</vt:lpstr>
      <vt:lpstr>CC102204</vt:lpstr>
      <vt:lpstr>CC102205</vt:lpstr>
      <vt:lpstr>CC102206</vt:lpstr>
      <vt:lpstr>CC102207</vt:lpstr>
      <vt:lpstr>CC102208</vt:lpstr>
      <vt:lpstr>CC102209C</vt:lpstr>
      <vt:lpstr>CC102212</vt:lpstr>
      <vt:lpstr>CC102213</vt:lpstr>
      <vt:lpstr>CC103101</vt:lpstr>
      <vt:lpstr>CC103102</vt:lpstr>
      <vt:lpstr>CC103103</vt:lpstr>
      <vt:lpstr>CC103104</vt:lpstr>
      <vt:lpstr>CC103105</vt:lpstr>
      <vt:lpstr>CC103106</vt:lpstr>
      <vt:lpstr>CC103107</vt:lpstr>
      <vt:lpstr>CC103108C</vt:lpstr>
      <vt:lpstr>CC103201</vt:lpstr>
      <vt:lpstr>CC103202</vt:lpstr>
      <vt:lpstr>CC103203</vt:lpstr>
      <vt:lpstr>CC103204</vt:lpstr>
      <vt:lpstr>CC103205</vt:lpstr>
      <vt:lpstr>CC103206</vt:lpstr>
      <vt:lpstr>CC103207</vt:lpstr>
      <vt:lpstr>CC103209</vt:lpstr>
      <vt:lpstr>CC103210</vt:lpstr>
      <vt:lpstr>CC103211</vt:lpstr>
      <vt:lpstr>CC103301</vt:lpstr>
      <vt:lpstr>CC103302</vt:lpstr>
      <vt:lpstr>CC103303</vt:lpstr>
      <vt:lpstr>CC103304</vt:lpstr>
      <vt:lpstr>CC103305</vt:lpstr>
      <vt:lpstr>CC103306</vt:lpstr>
      <vt:lpstr>CC103307</vt:lpstr>
      <vt:lpstr>CC103308</vt:lpstr>
      <vt:lpstr>CC103309</vt:lpstr>
      <vt:lpstr>CC100101</vt:lpstr>
      <vt:lpstr>CC100102</vt:lpstr>
      <vt:lpstr>CC100103</vt:lpstr>
      <vt:lpstr>CC100104</vt:lpstr>
      <vt:lpstr>CC100105</vt:lpstr>
      <vt:lpstr>CC100201</vt:lpstr>
      <vt:lpstr>CC100202</vt:lpstr>
      <vt:lpstr>CC100203</vt:lpstr>
      <vt:lpstr>CC100301</vt:lpstr>
      <vt:lpstr>CC100302</vt:lpstr>
      <vt:lpstr>CC100401</vt:lpstr>
      <vt:lpstr>CC100402</vt:lpstr>
      <vt:lpstr>CC105101</vt:lpstr>
      <vt:lpstr>CC105102</vt:lpstr>
      <vt:lpstr>CC105103C</vt:lpstr>
      <vt:lpstr>CC105105C</vt:lpstr>
      <vt:lpstr>CC105108C</vt:lpstr>
      <vt:lpstr>CC105201C</vt:lpstr>
      <vt:lpstr>CC105203C</vt:lpstr>
      <vt:lpstr>CC105205</vt:lpstr>
      <vt:lpstr>CC105206</vt:lpstr>
      <vt:lpstr>CC105207</vt:lpstr>
      <vt:lpstr>CC105208C</vt:lpstr>
      <vt:lpstr>CC105211</vt:lpstr>
      <vt:lpstr>CC105212C</vt:lpstr>
      <vt:lpstr>CC105214</vt:lpstr>
      <vt:lpstr>CC105301</vt:lpstr>
      <vt:lpstr>CC105302</vt:lpstr>
      <vt:lpstr>CC105303</vt:lpstr>
      <vt:lpstr>CC105304C</vt:lpstr>
      <vt:lpstr>CC105306</vt:lpstr>
      <vt:lpstr>CC105307</vt:lpstr>
      <vt:lpstr>CC105308C</vt:lpstr>
      <vt:lpstr>CC105401</vt:lpstr>
      <vt:lpstr>CC105402</vt:lpstr>
      <vt:lpstr>CC105403</vt:lpstr>
      <vt:lpstr>CC105404</vt:lpstr>
      <vt:lpstr>CC105405</vt:lpstr>
      <vt:lpstr>CC105406</vt:lpstr>
      <vt:lpstr>CC105407</vt:lpstr>
      <vt:lpstr>CC105408C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GUILLOU Helene</cp:lastModifiedBy>
  <cp:revision/>
  <dcterms:created xsi:type="dcterms:W3CDTF">2017-01-11T12:20:14Z</dcterms:created>
  <dcterms:modified xsi:type="dcterms:W3CDTF">2017-11-23T15:23:44Z</dcterms:modified>
  <cp:category/>
  <dc:identifier/>
  <cp:contentStatus/>
  <dc:language/>
  <cp:version/>
</cp:coreProperties>
</file>